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thurpml\Desktop\UPAE\HDM\HDM 08.20\excel\"/>
    </mc:Choice>
  </mc:AlternateContent>
  <bookViews>
    <workbookView xWindow="0" yWindow="0" windowWidth="20490" windowHeight="775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H33" i="1"/>
  <c r="A33" i="1"/>
  <c r="H32" i="1"/>
  <c r="A32" i="1"/>
  <c r="H31" i="1"/>
  <c r="A31" i="1"/>
  <c r="H30" i="1"/>
  <c r="A30" i="1"/>
  <c r="H29" i="1"/>
  <c r="A29" i="1"/>
  <c r="H28" i="1"/>
  <c r="A28" i="1"/>
  <c r="H27" i="1"/>
  <c r="A27" i="1"/>
  <c r="H26" i="1"/>
  <c r="A26" i="1"/>
  <c r="H25" i="1"/>
  <c r="A25" i="1"/>
  <c r="H24" i="1"/>
  <c r="A24" i="1"/>
  <c r="H23" i="1"/>
  <c r="A23" i="1"/>
  <c r="H22" i="1"/>
  <c r="A22" i="1"/>
  <c r="H21" i="1"/>
  <c r="A21" i="1"/>
  <c r="H20" i="1"/>
  <c r="A20" i="1"/>
  <c r="H19" i="1"/>
  <c r="A19" i="1"/>
  <c r="H18" i="1"/>
  <c r="A18" i="1"/>
  <c r="H17" i="1"/>
  <c r="A17" i="1"/>
  <c r="H16" i="1"/>
  <c r="A16" i="1"/>
  <c r="H15" i="1"/>
  <c r="A15" i="1"/>
  <c r="H14" i="1"/>
  <c r="A14" i="1"/>
  <c r="H13" i="1"/>
  <c r="A13" i="1"/>
  <c r="H12" i="1"/>
  <c r="A12" i="1"/>
  <c r="H11" i="1"/>
  <c r="A11" i="1"/>
  <c r="H10" i="1"/>
  <c r="A10" i="1"/>
  <c r="H9" i="1"/>
  <c r="A9" i="1"/>
  <c r="H8" i="1"/>
  <c r="A8" i="1"/>
  <c r="A7" i="1"/>
  <c r="A6" i="1"/>
  <c r="A5" i="1"/>
  <c r="H4" i="1"/>
  <c r="A4" i="1"/>
  <c r="A3" i="1"/>
  <c r="A2" i="1"/>
</calcChain>
</file>

<file path=xl/sharedStrings.xml><?xml version="1.0" encoding="utf-8"?>
<sst xmlns="http://schemas.openxmlformats.org/spreadsheetml/2006/main" count="137" uniqueCount="104">
  <si>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</si>
  <si>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</si>
  <si>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</si>
  <si>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</si>
  <si>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</si>
  <si>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</si>
  <si>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</si>
  <si>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</si>
  <si>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</si>
  <si>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</t>
  </si>
  <si>
    <t>23.734.644/0001-09</t>
  </si>
  <si>
    <t>Alves e Brito Serviços Médicos LTDA</t>
  </si>
  <si>
    <t>https://imip-sistemas.org.br/sistemas/_scriptcase_producao_v9/file/doc/portal_transparencia/contratos_fornecedores/2843/23734644000109a1.pdf</t>
  </si>
  <si>
    <t>04.166.795/0001-63</t>
  </si>
  <si>
    <t>Anestesia e Serviços Médicos LTDA</t>
  </si>
  <si>
    <t>https://imip-sistemas.org.br/sistemas/_scriptcase_producao_v9/file/doc/portal_transparencia/contratos_fornecedores/2798/04166795000163a5.pdf</t>
  </si>
  <si>
    <t>10.225.064/0001-44</t>
  </si>
  <si>
    <t>Angioclínica SS LTDA</t>
  </si>
  <si>
    <t>https://imip-sistemas.org.br/sistemas/_scriptcase_producao_v9/file/doc/portal_transparencia/contratos_fornecedores/2594/10225064000144p.pdf</t>
  </si>
  <si>
    <t>24.272.956/0001-00</t>
  </si>
  <si>
    <t>Anna Kelly Monterio Palha do Nascimento</t>
  </si>
  <si>
    <t>https://imip-sistemas.org.br/sistemas/_scriptcase_producao_v9/file/doc/portal_transparencia/contratos_fornecedores/2663/24272956000100a2.pdf</t>
  </si>
  <si>
    <t>08.731.241/0001-12</t>
  </si>
  <si>
    <t>Brandão e Fonseca Assistência Médica LTDA</t>
  </si>
  <si>
    <t>https://imip-sistemas.org.br/sistemas/_scriptcase_producao_v9/file/doc/portal_transparencia/contratos_fornecedores/2603/08731241000112a1.pdf</t>
  </si>
  <si>
    <t>11.863.530/0001-80</t>
  </si>
  <si>
    <t>Brascon Gestão Ambiental LTDA</t>
  </si>
  <si>
    <t>https://imip-sistemas.org.br/sistemas/_scriptcase_producao_v9/file/doc/portal_transparencia/contratos_fornecedores/1685/11863530000180a.1.pdf</t>
  </si>
  <si>
    <t>09.569.536/0001/05</t>
  </si>
  <si>
    <t>CARDIOVASF - Instituto do Coração do Vale do São Francisco LTDA</t>
  </si>
  <si>
    <t>https://imip-sistemas.org.br/sistemas/_scriptcase_producao_v9/file/doc/portal_transparencia/contratos_fornecedores/2767/09569536000105a2.pdf</t>
  </si>
  <si>
    <t>03.390.967/0001-15</t>
  </si>
  <si>
    <t>CARTELLO Desenvolvimento e Suporte EIRELI</t>
  </si>
  <si>
    <t>https://imip-sistemas.org.br/sistemas/_scriptcase_producao_v9/file/doc/portal_transparencia/contratos_fornecedores/2819/03390967000115a5.pdf</t>
  </si>
  <si>
    <t>12.657.631/0001-67</t>
  </si>
  <si>
    <t>CDI - Centro de Diagnóstico Clínico e Por Imagem LTDA</t>
  </si>
  <si>
    <t>https://imip-sistemas.org.br/sistemas/_scriptcase_producao_v9/file/doc/portal_transparencia/contratos_fornecedores/2881/12657631000167a2.pdf</t>
  </si>
  <si>
    <t>01.913.062/0001-57</t>
  </si>
  <si>
    <t>CENEL - Centro de Neurologia e Eletroencefalografia LTDA</t>
  </si>
  <si>
    <t>https://imip-sistemas.org.br/sistemas/_scriptcase_producao_v9/file/doc/portal_transparencia/contratos_fornecedores/3001/01913062000157a2.pdf</t>
  </si>
  <si>
    <t>03.757.098/0001-14</t>
  </si>
  <si>
    <t>CIPEVASF - Cirurgiões Pediátricos do Vale São Francisco S/S LTDA</t>
  </si>
  <si>
    <t>https://imip-sistemas.org.br/sistemas/_scriptcase_producao_v9/file/doc/portal_transparencia/contratos_fornecedores/337/03757098000114p.pdf.pdf</t>
  </si>
  <si>
    <t>24.304.495/0001-00</t>
  </si>
  <si>
    <t>Clínica do Rim LTDA</t>
  </si>
  <si>
    <t>https://imip-sistemas.org.br/sistemas/_scriptcase_producao_v9/file/doc/portal_transparencia/contratos_fornecedores/2508/24304495000100a1.pdf</t>
  </si>
  <si>
    <t>03.149.182/0001-55</t>
  </si>
  <si>
    <t>Clinutri LTDA</t>
  </si>
  <si>
    <t>https://imip-sistemas.org.br/sistemas/_scriptcase_producao_v9/file/doc/portal_transparencia/contratos_fornecedores/2822/03149182000155a1.pdf</t>
  </si>
  <si>
    <t>09.014.387/0001-00</t>
  </si>
  <si>
    <t>Completa Serviços de Ar Condicionado e Locação LTDA</t>
  </si>
  <si>
    <t>https://imip-sistemas.org.br/sistemas/_scriptcase_producao_v9/file/doc/portal_transparencia/contratos_fornecedores/2602/09014387000100a1.pdf</t>
  </si>
  <si>
    <t>07.934.336/0001-70</t>
  </si>
  <si>
    <t>Dil Serviços Médicos LTDA</t>
  </si>
  <si>
    <t>https://imip-sistemas.org.br/sistemas/_scriptcase_producao_v9/file/doc/portal_transparencia/contratos_fornecedores/1448/07934336000170a1.pdf</t>
  </si>
  <si>
    <t>11.182.660/0001-57</t>
  </si>
  <si>
    <t>Emerson Wallas Rodrigues da Silva</t>
  </si>
  <si>
    <t>https://imip-sistemas.org.br/sistemas/_scriptcase_producao_v9/file/doc/portal_transparencia/contratos_fornecedores/351/11182660000157a3.pdf.pdf</t>
  </si>
  <si>
    <t>11.735.586/0001-59</t>
  </si>
  <si>
    <t>FADE/UFPE - Fundação de Apoio ao Desenvolvimento da Universidade Federal de Pernambuco</t>
  </si>
  <si>
    <t>https://fpmf-sistemas.org.br/sistemas/imip/v8/portal_transparencia/menu_ext_fpmf/</t>
  </si>
  <si>
    <t>27.814.653/0001-60</t>
  </si>
  <si>
    <t>Lumi Consultoria e Serviços LTDA</t>
  </si>
  <si>
    <t>https://imip-sistemas.org.br/sistemas/_scriptcase_producao_v9/file/doc/portal_transparencia/contratos_fornecedores/2825/27814653000160a1.pdf</t>
  </si>
  <si>
    <t>12.626.414/0001-00</t>
  </si>
  <si>
    <t>Manteq H.I. LDTA</t>
  </si>
  <si>
    <t>https://imip-sistemas.org.br/sistemas/_scriptcase_producao_v9/file/doc/portal_transparencia/contratos_fornecedores/2595/12626414000100a1.pdf</t>
  </si>
  <si>
    <t>03.811.242/0001-53</t>
  </si>
  <si>
    <t>MEDICAT - Medicina de Trabalho LTDA</t>
  </si>
  <si>
    <t>https://imip-sistemas.org.br/sistemas/_scriptcase_producao_v9/file/doc/portal_transparencia/contratos_fornecedores/2623/03811242000153a4.pdf</t>
  </si>
  <si>
    <t>92.306.257/0007-80</t>
  </si>
  <si>
    <t>MV Informática Nordeste LTDA</t>
  </si>
  <si>
    <t>https://imip-sistemas.org.br/sistemas/_scriptcase_producao_v9/file/doc/portal_transparencia/contratos_fornecedores/1563/92306257000275a1.pdf</t>
  </si>
  <si>
    <t>02.512.303/0001-19</t>
  </si>
  <si>
    <t>Norões Azevedo Sociedade de Advogados</t>
  </si>
  <si>
    <t>58.921.792/0001-17</t>
  </si>
  <si>
    <t>Planisa Planejamento e Organizção de Instituições de Sáude LTDA</t>
  </si>
  <si>
    <t>https://imip-sistemas.org.br/sistemas/_scriptcase_producao_v9/file/doc/portal_transparencia/contratos_fornecedores/2813/58921792000117a3.pdf</t>
  </si>
  <si>
    <t>03.789.272/0008-87</t>
  </si>
  <si>
    <t>SENAI - Serviço Nacional de Aprendizagem Industrial</t>
  </si>
  <si>
    <t>https://imip-sistemas.org.br/sistemas/_scriptcase_producao_v9/file/doc/portal_transparencia/contratos_fornecedores/2698/03789272000887a3.pdf</t>
  </si>
  <si>
    <t>07.146.768/0001-17</t>
  </si>
  <si>
    <t>Serv Imagem Nordeste Assistência Técnica LTDA</t>
  </si>
  <si>
    <t>https://imip-sistemas.org.br/sistemas/_scriptcase_producao_v9/file/doc/portal_transparencia/contratos_fornecedores/2484/071467680001a4.pdf</t>
  </si>
  <si>
    <t>16.783.034/0001-30</t>
  </si>
  <si>
    <t>SÍNTESE - Licenciamento de Programa paa Compras Online LTDA</t>
  </si>
  <si>
    <t>https://imip-sistemas.org.br/sistemas/_scriptcase_producao_v9/file/doc/portal_transparencia/contratos_fornecedores/367/04732857000157a2.pdf.pdf</t>
  </si>
  <si>
    <t>03.480.539/0001-83</t>
  </si>
  <si>
    <t>SL Engenharia Hospitalar LTDA</t>
  </si>
  <si>
    <t>https://imip-sistemas.org.br/sistemas/_scriptcase_producao_v9/file/doc/portal_transparencia/contratos_fornecedores/3003/03480539000183a4.pdf</t>
  </si>
  <si>
    <t>05.419.785/0001-55</t>
  </si>
  <si>
    <t>Solunni Serviços Especializados EIRELI</t>
  </si>
  <si>
    <t>https://imip-sistemas.org.br/sistemas/_scriptcase_producao_v9/file/doc/portal_transparencia/contratos_fornecedores/2210/05419785000155a.14.pdf</t>
  </si>
  <si>
    <t>35.521.046/0001-30</t>
  </si>
  <si>
    <t>TGI Consultoria em Gestão Empresarial LTDA</t>
  </si>
  <si>
    <t>https://imip-sistemas.org.br/sistemas/_scriptcase_producao_v9/file/doc/portal_transparencia/contratos_fornecedores/2609/35521046000130a4.pdf</t>
  </si>
  <si>
    <t>14.316.409/0001-26</t>
  </si>
  <si>
    <t>Vieira e Mourão Serviços Médicos S/S LTDA</t>
  </si>
  <si>
    <t>https://imip-sistemas.org.br/sistemas/_scriptcase_producao_v9/file/doc/portal_transparencia/contratos_fornecedores/1449/14316409000126p.pdf</t>
  </si>
  <si>
    <t>41.994.831/0002-94</t>
  </si>
  <si>
    <t>Vimaq Máquinas Araújo EIRELI</t>
  </si>
  <si>
    <t>https://imip-sistemas.org.br/sistemas/_scriptcase_producao_v9/file/doc/portal_transparencia/contratos_fornecedores/2859/41994831000294a2.pdf</t>
  </si>
  <si>
    <t>24.380.578/0004-21</t>
  </si>
  <si>
    <t>White Martins Gases Industriais do Nordeste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</si>
</sst>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7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rthurpml/Desktop/UPAE/HDM/HDM%2008.20/HDM%20PCF%20-%202020_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mip-sistemas.org.br/sistemas/_scriptcase_producao_v9/file/doc/portal_transparencia/contratos_fornecedores/2602/09014387000100a1.pdf" TargetMode="External"/><Relationship Id="rId2" Type="http://schemas.openxmlformats.org/officeDocument/2006/relationships/hyperlink" Target="https://imip-sistemas.org.br/sistemas/_scriptcase_producao_v9/file/doc/portal_transparencia/contratos_fornecedores/1685/11863530000180a.1.pdf" TargetMode="External"/><Relationship Id="rId1" Type="http://schemas.openxmlformats.org/officeDocument/2006/relationships/hyperlink" Target="https://imip-sistemas.org.br/sistemas/_scriptcase_producao_v9/file/doc/portal_transparencia/contratos_fornecedores/2798/04166795000163a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zoomScale="60" zoomScaleNormal="60" workbookViewId="0">
      <selection activeCell="T36" sqref="T36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9039744000780</v>
      </c>
      <c r="B2" s="4" t="s">
        <v>9</v>
      </c>
      <c r="C2" s="5" t="s">
        <v>10</v>
      </c>
      <c r="D2" s="6" t="s">
        <v>11</v>
      </c>
      <c r="E2" s="7">
        <v>1</v>
      </c>
      <c r="F2" s="8">
        <v>42217</v>
      </c>
      <c r="G2" s="8">
        <v>44196</v>
      </c>
      <c r="H2" s="9">
        <v>52518</v>
      </c>
      <c r="I2" s="6" t="s">
        <v>12</v>
      </c>
    </row>
    <row r="3" spans="1:9" ht="21" customHeight="1" x14ac:dyDescent="0.2">
      <c r="A3" s="3">
        <f>IFERROR(VLOOKUP(B3,'[1]DADOS (OCULTAR)'!$P$3:$R$56,3,0),"")</f>
        <v>9039744000780</v>
      </c>
      <c r="B3" s="4" t="s">
        <v>9</v>
      </c>
      <c r="C3" s="5" t="s">
        <v>13</v>
      </c>
      <c r="D3" s="6" t="s">
        <v>14</v>
      </c>
      <c r="E3" s="7">
        <v>5</v>
      </c>
      <c r="F3" s="8">
        <v>40299</v>
      </c>
      <c r="G3" s="8">
        <v>44196</v>
      </c>
      <c r="H3" s="9">
        <v>2782407.36</v>
      </c>
      <c r="I3" s="6" t="s">
        <v>15</v>
      </c>
    </row>
    <row r="4" spans="1:9" ht="21" customHeight="1" x14ac:dyDescent="0.2">
      <c r="A4" s="3">
        <f>IFERROR(VLOOKUP(B4,'[1]DADOS (OCULTAR)'!$P$3:$R$56,3,0),"")</f>
        <v>9039744000780</v>
      </c>
      <c r="B4" s="4" t="s">
        <v>9</v>
      </c>
      <c r="C4" s="5" t="s">
        <v>16</v>
      </c>
      <c r="D4" s="6" t="s">
        <v>17</v>
      </c>
      <c r="E4" s="7">
        <v>1</v>
      </c>
      <c r="F4" s="8">
        <v>44020</v>
      </c>
      <c r="G4" s="8">
        <v>44196</v>
      </c>
      <c r="H4" s="9">
        <f>9196.33*12</f>
        <v>110355.95999999999</v>
      </c>
      <c r="I4" s="6" t="s">
        <v>18</v>
      </c>
    </row>
    <row r="5" spans="1:9" ht="21" customHeight="1" x14ac:dyDescent="0.2">
      <c r="A5" s="3">
        <f>IFERROR(VLOOKUP(B5,'[1]DADOS (OCULTAR)'!$P$3:$R$56,3,0),"")</f>
        <v>9039744000780</v>
      </c>
      <c r="B5" s="4" t="s">
        <v>9</v>
      </c>
      <c r="C5" s="5" t="s">
        <v>19</v>
      </c>
      <c r="D5" s="6" t="s">
        <v>20</v>
      </c>
      <c r="E5" s="7">
        <v>2</v>
      </c>
      <c r="F5" s="8">
        <v>42744</v>
      </c>
      <c r="G5" s="8">
        <v>44196</v>
      </c>
      <c r="H5" s="9">
        <v>27600</v>
      </c>
      <c r="I5" s="6" t="s">
        <v>21</v>
      </c>
    </row>
    <row r="6" spans="1:9" ht="21" customHeight="1" x14ac:dyDescent="0.2">
      <c r="A6" s="3">
        <f>IFERROR(VLOOKUP(B6,'[1]DADOS (OCULTAR)'!$P$3:$R$56,3,0),"")</f>
        <v>9039744000780</v>
      </c>
      <c r="B6" s="4" t="s">
        <v>9</v>
      </c>
      <c r="C6" s="5" t="s">
        <v>22</v>
      </c>
      <c r="D6" s="6" t="s">
        <v>23</v>
      </c>
      <c r="E6" s="7">
        <v>1</v>
      </c>
      <c r="F6" s="8">
        <v>41891</v>
      </c>
      <c r="G6" s="8">
        <v>44196</v>
      </c>
      <c r="H6" s="9">
        <v>14400</v>
      </c>
      <c r="I6" s="6" t="s">
        <v>24</v>
      </c>
    </row>
    <row r="7" spans="1:9" ht="21" customHeight="1" x14ac:dyDescent="0.2">
      <c r="A7" s="3">
        <f>IFERROR(VLOOKUP(B7,'[1]DADOS (OCULTAR)'!$P$3:$R$56,3,0),"")</f>
        <v>9039744000780</v>
      </c>
      <c r="B7" s="4" t="s">
        <v>9</v>
      </c>
      <c r="C7" s="5" t="s">
        <v>25</v>
      </c>
      <c r="D7" s="6" t="s">
        <v>26</v>
      </c>
      <c r="E7" s="7">
        <v>2</v>
      </c>
      <c r="F7" s="8">
        <v>42887</v>
      </c>
      <c r="G7" s="8">
        <v>44196</v>
      </c>
      <c r="H7" s="9">
        <v>88880.040000000008</v>
      </c>
      <c r="I7" s="6" t="s">
        <v>27</v>
      </c>
    </row>
    <row r="8" spans="1:9" ht="21" customHeight="1" x14ac:dyDescent="0.2">
      <c r="A8" s="3">
        <f>IFERROR(VLOOKUP(B8,'[1]DADOS (OCULTAR)'!$P$3:$R$56,3,0),"")</f>
        <v>9039744000780</v>
      </c>
      <c r="B8" s="4" t="s">
        <v>9</v>
      </c>
      <c r="C8" s="5" t="s">
        <v>28</v>
      </c>
      <c r="D8" s="6" t="s">
        <v>29</v>
      </c>
      <c r="E8" s="7">
        <v>2</v>
      </c>
      <c r="F8" s="8">
        <v>41791</v>
      </c>
      <c r="G8" s="8">
        <v>44196</v>
      </c>
      <c r="H8" s="9">
        <f>2850*12</f>
        <v>34200</v>
      </c>
      <c r="I8" s="6" t="s">
        <v>30</v>
      </c>
    </row>
    <row r="9" spans="1:9" ht="21" customHeight="1" x14ac:dyDescent="0.2">
      <c r="A9" s="3">
        <f>IFERROR(VLOOKUP(B9,'[1]DADOS (OCULTAR)'!$P$3:$R$56,3,0),"")</f>
        <v>9039744000780</v>
      </c>
      <c r="B9" s="4" t="s">
        <v>9</v>
      </c>
      <c r="C9" s="5" t="s">
        <v>31</v>
      </c>
      <c r="D9" s="6" t="s">
        <v>32</v>
      </c>
      <c r="E9" s="7">
        <v>5</v>
      </c>
      <c r="F9" s="8">
        <v>40269</v>
      </c>
      <c r="G9" s="8">
        <v>44196</v>
      </c>
      <c r="H9" s="9">
        <f>442.17*12</f>
        <v>5306.04</v>
      </c>
      <c r="I9" s="6" t="s">
        <v>33</v>
      </c>
    </row>
    <row r="10" spans="1:9" ht="21" customHeight="1" x14ac:dyDescent="0.2">
      <c r="A10" s="3">
        <f>IFERROR(VLOOKUP(B10,'[1]DADOS (OCULTAR)'!$P$3:$R$56,3,0),"")</f>
        <v>9039744000780</v>
      </c>
      <c r="B10" s="4" t="s">
        <v>9</v>
      </c>
      <c r="C10" s="5" t="s">
        <v>34</v>
      </c>
      <c r="D10" s="6" t="s">
        <v>35</v>
      </c>
      <c r="E10" s="7">
        <v>2</v>
      </c>
      <c r="F10" s="8">
        <v>41334</v>
      </c>
      <c r="G10" s="8">
        <v>44196</v>
      </c>
      <c r="H10" s="9">
        <f>4883.33*12</f>
        <v>58599.96</v>
      </c>
      <c r="I10" s="6" t="s">
        <v>36</v>
      </c>
    </row>
    <row r="11" spans="1:9" ht="21" customHeight="1" x14ac:dyDescent="0.2">
      <c r="A11" s="3">
        <f>IFERROR(VLOOKUP(B11,'[1]DADOS (OCULTAR)'!$P$3:$R$56,3,0),"")</f>
        <v>9039744000780</v>
      </c>
      <c r="B11" s="4" t="s">
        <v>9</v>
      </c>
      <c r="C11" s="5" t="s">
        <v>37</v>
      </c>
      <c r="D11" s="6" t="s">
        <v>38</v>
      </c>
      <c r="E11" s="7">
        <v>2</v>
      </c>
      <c r="F11" s="8">
        <v>41626</v>
      </c>
      <c r="G11" s="8">
        <v>44196</v>
      </c>
      <c r="H11" s="9">
        <f>2020*12</f>
        <v>24240</v>
      </c>
      <c r="I11" s="6" t="s">
        <v>39</v>
      </c>
    </row>
    <row r="12" spans="1:9" ht="21" customHeight="1" x14ac:dyDescent="0.2">
      <c r="A12" s="3">
        <f>IFERROR(VLOOKUP(B12,'[1]DADOS (OCULTAR)'!$P$3:$R$56,3,0),"")</f>
        <v>9039744000780</v>
      </c>
      <c r="B12" s="4" t="s">
        <v>9</v>
      </c>
      <c r="C12" s="5" t="s">
        <v>40</v>
      </c>
      <c r="D12" s="6" t="s">
        <v>41</v>
      </c>
      <c r="E12" s="7">
        <v>1</v>
      </c>
      <c r="F12" s="8">
        <v>43192</v>
      </c>
      <c r="G12" s="8">
        <v>44196</v>
      </c>
      <c r="H12" s="9">
        <f>23303.35*12</f>
        <v>279640.19999999995</v>
      </c>
      <c r="I12" s="6" t="s">
        <v>42</v>
      </c>
    </row>
    <row r="13" spans="1:9" ht="21" customHeight="1" x14ac:dyDescent="0.2">
      <c r="A13" s="3">
        <f>IFERROR(VLOOKUP(B13,'[1]DADOS (OCULTAR)'!$P$3:$R$56,3,0),"")</f>
        <v>9039744000780</v>
      </c>
      <c r="B13" s="4" t="s">
        <v>9</v>
      </c>
      <c r="C13" s="5" t="s">
        <v>43</v>
      </c>
      <c r="D13" s="6" t="s">
        <v>44</v>
      </c>
      <c r="E13" s="7">
        <v>1</v>
      </c>
      <c r="F13" s="8">
        <v>41177</v>
      </c>
      <c r="G13" s="8">
        <v>44196</v>
      </c>
      <c r="H13" s="9">
        <f>4250*12</f>
        <v>51000</v>
      </c>
      <c r="I13" s="6" t="s">
        <v>45</v>
      </c>
    </row>
    <row r="14" spans="1:9" ht="21" customHeight="1" x14ac:dyDescent="0.2">
      <c r="A14" s="3">
        <f>IFERROR(VLOOKUP(B14,'[1]DADOS (OCULTAR)'!$P$3:$R$56,3,0),"")</f>
        <v>9039744000780</v>
      </c>
      <c r="B14" s="4" t="s">
        <v>9</v>
      </c>
      <c r="C14" s="5" t="s">
        <v>46</v>
      </c>
      <c r="D14" s="6" t="s">
        <v>47</v>
      </c>
      <c r="E14" s="7">
        <v>2</v>
      </c>
      <c r="F14" s="8">
        <v>41244</v>
      </c>
      <c r="G14" s="8">
        <v>44196</v>
      </c>
      <c r="H14" s="9">
        <f>12393.33*12</f>
        <v>148719.96</v>
      </c>
      <c r="I14" s="6" t="s">
        <v>48</v>
      </c>
    </row>
    <row r="15" spans="1:9" ht="21" customHeight="1" x14ac:dyDescent="0.2">
      <c r="A15" s="3">
        <f>IFERROR(VLOOKUP(B15,'[1]DADOS (OCULTAR)'!$P$3:$R$56,3,0),"")</f>
        <v>9039744000780</v>
      </c>
      <c r="B15" s="4" t="s">
        <v>9</v>
      </c>
      <c r="C15" s="5" t="s">
        <v>49</v>
      </c>
      <c r="D15" s="6" t="s">
        <v>50</v>
      </c>
      <c r="E15" s="7">
        <v>1</v>
      </c>
      <c r="F15" s="8">
        <v>41730</v>
      </c>
      <c r="G15" s="8">
        <v>44196</v>
      </c>
      <c r="H15" s="9">
        <f>22735.76*12</f>
        <v>272829.12</v>
      </c>
      <c r="I15" s="10" t="s">
        <v>51</v>
      </c>
    </row>
    <row r="16" spans="1:9" ht="21" customHeight="1" x14ac:dyDescent="0.2">
      <c r="A16" s="3">
        <f>IFERROR(VLOOKUP(B16,'[1]DADOS (OCULTAR)'!$P$3:$R$56,3,0),"")</f>
        <v>9039744000780</v>
      </c>
      <c r="B16" s="4" t="s">
        <v>9</v>
      </c>
      <c r="C16" s="5" t="s">
        <v>52</v>
      </c>
      <c r="D16" s="6" t="s">
        <v>53</v>
      </c>
      <c r="E16" s="7">
        <v>1</v>
      </c>
      <c r="F16" s="8">
        <v>42065</v>
      </c>
      <c r="G16" s="8">
        <v>44196</v>
      </c>
      <c r="H16" s="9">
        <f>6000*12</f>
        <v>72000</v>
      </c>
      <c r="I16" s="6" t="s">
        <v>54</v>
      </c>
    </row>
    <row r="17" spans="1:9" ht="21" customHeight="1" x14ac:dyDescent="0.2">
      <c r="A17" s="3">
        <f>IFERROR(VLOOKUP(B17,'[1]DADOS (OCULTAR)'!$P$3:$R$56,3,0),"")</f>
        <v>9039744000780</v>
      </c>
      <c r="B17" s="4" t="s">
        <v>9</v>
      </c>
      <c r="C17" s="5" t="s">
        <v>55</v>
      </c>
      <c r="D17" s="6" t="s">
        <v>56</v>
      </c>
      <c r="E17" s="7">
        <v>3</v>
      </c>
      <c r="F17" s="8">
        <v>40973</v>
      </c>
      <c r="G17" s="8">
        <v>44196</v>
      </c>
      <c r="H17" s="9">
        <f>1500*12</f>
        <v>18000</v>
      </c>
      <c r="I17" s="6" t="s">
        <v>57</v>
      </c>
    </row>
    <row r="18" spans="1:9" ht="21" customHeight="1" x14ac:dyDescent="0.2">
      <c r="A18" s="3">
        <f>IFERROR(VLOOKUP(B18,'[1]DADOS (OCULTAR)'!$P$3:$R$56,3,0),"")</f>
        <v>9039744000780</v>
      </c>
      <c r="B18" s="4" t="s">
        <v>9</v>
      </c>
      <c r="C18" s="5" t="s">
        <v>58</v>
      </c>
      <c r="D18" s="6" t="s">
        <v>59</v>
      </c>
      <c r="E18" s="7">
        <v>1</v>
      </c>
      <c r="F18" s="8">
        <v>42009</v>
      </c>
      <c r="G18" s="8">
        <v>44196</v>
      </c>
      <c r="H18" s="9">
        <f>220*12</f>
        <v>2640</v>
      </c>
      <c r="I18" s="6" t="s">
        <v>60</v>
      </c>
    </row>
    <row r="19" spans="1:9" ht="21" customHeight="1" x14ac:dyDescent="0.2">
      <c r="A19" s="3">
        <f>IFERROR(VLOOKUP(B19,'[1]DADOS (OCULTAR)'!$P$3:$R$56,3,0),"")</f>
        <v>9039744000780</v>
      </c>
      <c r="B19" s="4" t="s">
        <v>9</v>
      </c>
      <c r="C19" s="5" t="s">
        <v>61</v>
      </c>
      <c r="D19" s="6" t="s">
        <v>62</v>
      </c>
      <c r="E19" s="7">
        <v>2</v>
      </c>
      <c r="F19" s="8">
        <v>43560</v>
      </c>
      <c r="G19" s="8">
        <v>44196</v>
      </c>
      <c r="H19" s="9">
        <f>8000*12</f>
        <v>96000</v>
      </c>
      <c r="I19" s="6" t="s">
        <v>63</v>
      </c>
    </row>
    <row r="20" spans="1:9" ht="21" customHeight="1" x14ac:dyDescent="0.2">
      <c r="A20" s="3">
        <f>IFERROR(VLOOKUP(B20,'[1]DADOS (OCULTAR)'!$P$3:$R$56,3,0),"")</f>
        <v>9039744000780</v>
      </c>
      <c r="B20" s="4" t="s">
        <v>9</v>
      </c>
      <c r="C20" s="5" t="s">
        <v>64</v>
      </c>
      <c r="D20" s="6" t="s">
        <v>65</v>
      </c>
      <c r="E20" s="7">
        <v>1</v>
      </c>
      <c r="F20" s="8">
        <v>41334</v>
      </c>
      <c r="G20" s="8">
        <v>44196</v>
      </c>
      <c r="H20" s="9">
        <f>2600*12</f>
        <v>31200</v>
      </c>
      <c r="I20" s="6" t="s">
        <v>66</v>
      </c>
    </row>
    <row r="21" spans="1:9" ht="21" customHeight="1" x14ac:dyDescent="0.2">
      <c r="A21" s="3">
        <f>IFERROR(VLOOKUP(B21,'[1]DADOS (OCULTAR)'!$P$3:$R$56,3,0),"")</f>
        <v>9039744000780</v>
      </c>
      <c r="B21" s="4" t="s">
        <v>9</v>
      </c>
      <c r="C21" s="5" t="s">
        <v>67</v>
      </c>
      <c r="D21" s="6" t="s">
        <v>68</v>
      </c>
      <c r="E21" s="7">
        <v>4</v>
      </c>
      <c r="F21" s="8">
        <v>41244</v>
      </c>
      <c r="G21" s="8">
        <v>44196</v>
      </c>
      <c r="H21" s="9">
        <f>930*12</f>
        <v>11160</v>
      </c>
      <c r="I21" s="6" t="s">
        <v>69</v>
      </c>
    </row>
    <row r="22" spans="1:9" ht="21" customHeight="1" x14ac:dyDescent="0.2">
      <c r="A22" s="3">
        <f>IFERROR(VLOOKUP(B22,'[1]DADOS (OCULTAR)'!$P$3:$R$56,3,0),"")</f>
        <v>9039744000780</v>
      </c>
      <c r="B22" s="4" t="s">
        <v>9</v>
      </c>
      <c r="C22" s="5" t="s">
        <v>70</v>
      </c>
      <c r="D22" s="6" t="s">
        <v>71</v>
      </c>
      <c r="E22" s="7">
        <v>3</v>
      </c>
      <c r="F22" s="8">
        <v>41153</v>
      </c>
      <c r="G22" s="8">
        <v>44196</v>
      </c>
      <c r="H22" s="9">
        <f>24992.22*12</f>
        <v>299906.64</v>
      </c>
      <c r="I22" s="6" t="s">
        <v>72</v>
      </c>
    </row>
    <row r="23" spans="1:9" ht="21" customHeight="1" x14ac:dyDescent="0.2">
      <c r="A23" s="3">
        <f>IFERROR(VLOOKUP(B23,'[1]DADOS (OCULTAR)'!$P$3:$R$56,3,0),"")</f>
        <v>9039744000780</v>
      </c>
      <c r="B23" s="4" t="s">
        <v>9</v>
      </c>
      <c r="C23" s="5" t="s">
        <v>73</v>
      </c>
      <c r="D23" s="6" t="s">
        <v>74</v>
      </c>
      <c r="E23" s="7">
        <v>8</v>
      </c>
      <c r="F23" s="8">
        <v>40330</v>
      </c>
      <c r="G23" s="8">
        <v>44196</v>
      </c>
      <c r="H23" s="9">
        <f>7581*12</f>
        <v>90972</v>
      </c>
      <c r="I23" s="6" t="s">
        <v>60</v>
      </c>
    </row>
    <row r="24" spans="1:9" ht="21" customHeight="1" x14ac:dyDescent="0.2">
      <c r="A24" s="3">
        <f>IFERROR(VLOOKUP(B24,'[1]DADOS (OCULTAR)'!$P$3:$R$56,3,0),"")</f>
        <v>9039744000780</v>
      </c>
      <c r="B24" s="4" t="s">
        <v>9</v>
      </c>
      <c r="C24" s="5" t="s">
        <v>75</v>
      </c>
      <c r="D24" s="6" t="s">
        <v>76</v>
      </c>
      <c r="E24" s="7">
        <v>3</v>
      </c>
      <c r="F24" s="8">
        <v>42705</v>
      </c>
      <c r="G24" s="8">
        <v>44196</v>
      </c>
      <c r="H24" s="9">
        <f>2751.69*12</f>
        <v>33020.28</v>
      </c>
      <c r="I24" s="6" t="s">
        <v>77</v>
      </c>
    </row>
    <row r="25" spans="1:9" ht="21" customHeight="1" x14ac:dyDescent="0.2">
      <c r="A25" s="3">
        <f>IFERROR(VLOOKUP(B25,'[1]DADOS (OCULTAR)'!$P$3:$R$56,3,0),"")</f>
        <v>9039744000780</v>
      </c>
      <c r="B25" s="4" t="s">
        <v>9</v>
      </c>
      <c r="C25" s="5" t="s">
        <v>78</v>
      </c>
      <c r="D25" s="6" t="s">
        <v>79</v>
      </c>
      <c r="E25" s="7">
        <v>3</v>
      </c>
      <c r="F25" s="8">
        <v>42422</v>
      </c>
      <c r="G25" s="8">
        <v>44196</v>
      </c>
      <c r="H25" s="9">
        <f>3261.6*12</f>
        <v>39139.199999999997</v>
      </c>
      <c r="I25" s="6" t="s">
        <v>80</v>
      </c>
    </row>
    <row r="26" spans="1:9" ht="21" customHeight="1" x14ac:dyDescent="0.2">
      <c r="A26" s="3">
        <f>IFERROR(VLOOKUP(B26,'[1]DADOS (OCULTAR)'!$P$3:$R$56,3,0),"")</f>
        <v>9039744000780</v>
      </c>
      <c r="B26" s="4" t="s">
        <v>9</v>
      </c>
      <c r="C26" s="5" t="s">
        <v>81</v>
      </c>
      <c r="D26" s="6" t="s">
        <v>82</v>
      </c>
      <c r="E26" s="7">
        <v>5</v>
      </c>
      <c r="F26" s="8">
        <v>42436</v>
      </c>
      <c r="G26" s="8">
        <v>44196</v>
      </c>
      <c r="H26" s="9">
        <f>4618*12</f>
        <v>55416</v>
      </c>
      <c r="I26" s="6" t="s">
        <v>83</v>
      </c>
    </row>
    <row r="27" spans="1:9" ht="21" customHeight="1" x14ac:dyDescent="0.2">
      <c r="A27" s="3">
        <f>IFERROR(VLOOKUP(B27,'[1]DADOS (OCULTAR)'!$P$3:$R$56,3,0),"")</f>
        <v>9039744000780</v>
      </c>
      <c r="B27" s="4" t="s">
        <v>9</v>
      </c>
      <c r="C27" s="5" t="s">
        <v>84</v>
      </c>
      <c r="D27" s="6" t="s">
        <v>85</v>
      </c>
      <c r="E27" s="7">
        <v>3</v>
      </c>
      <c r="F27" s="8">
        <v>40483</v>
      </c>
      <c r="G27" s="8">
        <v>44196</v>
      </c>
      <c r="H27" s="9">
        <f>3194.63*12</f>
        <v>38335.56</v>
      </c>
      <c r="I27" s="6" t="s">
        <v>86</v>
      </c>
    </row>
    <row r="28" spans="1:9" ht="21" customHeight="1" x14ac:dyDescent="0.2">
      <c r="A28" s="3">
        <f>IFERROR(VLOOKUP(B28,'[1]DADOS (OCULTAR)'!$P$3:$R$56,3,0),"")</f>
        <v>9039744000780</v>
      </c>
      <c r="B28" s="4" t="s">
        <v>9</v>
      </c>
      <c r="C28" s="5" t="s">
        <v>87</v>
      </c>
      <c r="D28" s="6" t="s">
        <v>88</v>
      </c>
      <c r="E28" s="7">
        <v>4</v>
      </c>
      <c r="F28" s="8">
        <v>40330</v>
      </c>
      <c r="G28" s="8">
        <v>44196</v>
      </c>
      <c r="H28" s="9">
        <f>15968.92*12</f>
        <v>191627.04</v>
      </c>
      <c r="I28" s="6" t="s">
        <v>89</v>
      </c>
    </row>
    <row r="29" spans="1:9" ht="21" customHeight="1" x14ac:dyDescent="0.2">
      <c r="A29" s="3">
        <f>IFERROR(VLOOKUP(B29,'[1]DADOS (OCULTAR)'!$P$3:$R$56,3,0),"")</f>
        <v>9039744000780</v>
      </c>
      <c r="B29" s="4" t="s">
        <v>9</v>
      </c>
      <c r="C29" s="5" t="s">
        <v>90</v>
      </c>
      <c r="D29" s="6" t="s">
        <v>91</v>
      </c>
      <c r="E29" s="7">
        <v>15</v>
      </c>
      <c r="F29" s="8">
        <v>40330</v>
      </c>
      <c r="G29" s="8">
        <v>44196</v>
      </c>
      <c r="H29" s="9">
        <f>168337.56*12</f>
        <v>2020050.72</v>
      </c>
      <c r="I29" s="6" t="s">
        <v>92</v>
      </c>
    </row>
    <row r="30" spans="1:9" ht="21" customHeight="1" x14ac:dyDescent="0.2">
      <c r="A30" s="3">
        <f>IFERROR(VLOOKUP(B30,'[1]DADOS (OCULTAR)'!$P$3:$R$56,3,0),"")</f>
        <v>9039744000780</v>
      </c>
      <c r="B30" s="4" t="s">
        <v>9</v>
      </c>
      <c r="C30" s="5" t="s">
        <v>93</v>
      </c>
      <c r="D30" s="6" t="s">
        <v>94</v>
      </c>
      <c r="E30" s="7">
        <v>4</v>
      </c>
      <c r="F30" s="8">
        <v>40360</v>
      </c>
      <c r="G30" s="8">
        <v>44196</v>
      </c>
      <c r="H30" s="9">
        <f>4500*12</f>
        <v>54000</v>
      </c>
      <c r="I30" s="6" t="s">
        <v>95</v>
      </c>
    </row>
    <row r="31" spans="1:9" ht="21" customHeight="1" x14ac:dyDescent="0.2">
      <c r="A31" s="3">
        <f>IFERROR(VLOOKUP(B31,'[1]DADOS (OCULTAR)'!$P$3:$R$56,3,0),"")</f>
        <v>9039744000780</v>
      </c>
      <c r="B31" s="4" t="s">
        <v>9</v>
      </c>
      <c r="C31" s="5" t="s">
        <v>96</v>
      </c>
      <c r="D31" s="6" t="s">
        <v>97</v>
      </c>
      <c r="E31" s="7">
        <v>1</v>
      </c>
      <c r="F31" s="8">
        <v>42156</v>
      </c>
      <c r="G31" s="8">
        <v>44196</v>
      </c>
      <c r="H31" s="9">
        <f>4000*12</f>
        <v>48000</v>
      </c>
      <c r="I31" s="6" t="s">
        <v>98</v>
      </c>
    </row>
    <row r="32" spans="1:9" ht="21" customHeight="1" x14ac:dyDescent="0.2">
      <c r="A32" s="3">
        <f>IFERROR(VLOOKUP(B32,'[1]DADOS (OCULTAR)'!$P$3:$R$56,3,0),"")</f>
        <v>9039744000780</v>
      </c>
      <c r="B32" s="4" t="s">
        <v>9</v>
      </c>
      <c r="C32" s="5" t="s">
        <v>99</v>
      </c>
      <c r="D32" s="6" t="s">
        <v>100</v>
      </c>
      <c r="E32" s="7">
        <v>2</v>
      </c>
      <c r="F32" s="8">
        <v>41769</v>
      </c>
      <c r="G32" s="8">
        <v>44196</v>
      </c>
      <c r="H32" s="9">
        <f>8285.02*12</f>
        <v>99420.24</v>
      </c>
      <c r="I32" s="6" t="s">
        <v>101</v>
      </c>
    </row>
    <row r="33" spans="1:9" ht="21" customHeight="1" x14ac:dyDescent="0.2">
      <c r="A33" s="3">
        <f>IFERROR(VLOOKUP(B33,'[1]DADOS (OCULTAR)'!$P$3:$R$56,3,0),"")</f>
        <v>9039744000780</v>
      </c>
      <c r="B33" s="4" t="s">
        <v>9</v>
      </c>
      <c r="C33" s="5" t="s">
        <v>102</v>
      </c>
      <c r="D33" s="6" t="s">
        <v>103</v>
      </c>
      <c r="E33" s="7">
        <v>7</v>
      </c>
      <c r="F33" s="8">
        <v>40544</v>
      </c>
      <c r="G33" s="8">
        <v>44196</v>
      </c>
      <c r="H33" s="9">
        <f>(52236.12+441.43+9654.78)*12</f>
        <v>747987.96</v>
      </c>
      <c r="I33" s="6" t="s">
        <v>60</v>
      </c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3" r:id="rId1"/>
    <hyperlink ref="I7" r:id="rId2"/>
    <hyperlink ref="I15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Arthur Pereira Martins de Lima</dc:creator>
  <cp:lastModifiedBy>Arthur Pereira Martins de Lima</cp:lastModifiedBy>
  <dcterms:created xsi:type="dcterms:W3CDTF">2020-10-05T21:18:16Z</dcterms:created>
  <dcterms:modified xsi:type="dcterms:W3CDTF">2020-10-05T21:18:39Z</dcterms:modified>
</cp:coreProperties>
</file>