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07.JULHO\00. ORG. CD ( ESTOQUE)\14. TCE - final\TCE - FINAL\3.TCE DGMMAS EXCEL\"/>
    </mc:Choice>
  </mc:AlternateContent>
  <xr:revisionPtr revIDLastSave="0" documentId="8_{B30E5BA2-39C1-47A9-BF71-BB67F0AD03FF}" xr6:coauthVersionLast="45" xr6:coauthVersionMax="45" xr10:uidLastSave="{00000000-0000-0000-0000-000000000000}"/>
  <bookViews>
    <workbookView xWindow="-120" yWindow="-120" windowWidth="20730" windowHeight="11160" xr2:uid="{2366CD70-7817-4A1B-A380-FFAB50C30A79}"/>
  </bookViews>
  <sheets>
    <sheet name="UPABARRA-termos aditivos.2020_0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(OCULTAR)'!$AK$3:$AK$190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H74" i="1"/>
  <c r="A74" i="1"/>
  <c r="H73" i="1"/>
  <c r="A73" i="1"/>
  <c r="A72" i="1"/>
  <c r="H71" i="1"/>
  <c r="A71" i="1"/>
  <c r="H70" i="1"/>
  <c r="A70" i="1"/>
  <c r="H69" i="1"/>
  <c r="A69" i="1"/>
  <c r="H68" i="1"/>
  <c r="A68" i="1"/>
  <c r="H67" i="1"/>
  <c r="A67" i="1"/>
  <c r="H66" i="1"/>
  <c r="A66" i="1"/>
  <c r="H65" i="1"/>
  <c r="A65" i="1"/>
  <c r="H64" i="1"/>
  <c r="A64" i="1"/>
  <c r="H63" i="1"/>
  <c r="A63" i="1"/>
  <c r="H62" i="1"/>
  <c r="A62" i="1"/>
  <c r="H61" i="1"/>
  <c r="A61" i="1"/>
  <c r="H60" i="1"/>
  <c r="A60" i="1"/>
  <c r="H59" i="1"/>
  <c r="A59" i="1"/>
  <c r="H58" i="1"/>
  <c r="A58" i="1"/>
  <c r="H57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A46" i="1"/>
  <c r="H45" i="1"/>
  <c r="A45" i="1"/>
  <c r="H44" i="1"/>
  <c r="A44" i="1"/>
  <c r="H43" i="1"/>
  <c r="A43" i="1"/>
  <c r="A42" i="1"/>
  <c r="H41" i="1"/>
  <c r="A41" i="1"/>
  <c r="H40" i="1"/>
  <c r="A40" i="1"/>
  <c r="H39" i="1"/>
  <c r="A39" i="1"/>
  <c r="H38" i="1"/>
  <c r="A38" i="1"/>
  <c r="H37" i="1"/>
  <c r="A37" i="1"/>
  <c r="H36" i="1"/>
  <c r="A36" i="1"/>
  <c r="H35" i="1"/>
  <c r="A35" i="1"/>
  <c r="H34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H7" i="1"/>
  <c r="A7" i="1"/>
  <c r="H6" i="1"/>
  <c r="A6" i="1"/>
  <c r="H5" i="1"/>
  <c r="A5" i="1"/>
  <c r="H4" i="1"/>
  <c r="A4" i="1"/>
  <c r="H3" i="1"/>
  <c r="A3" i="1"/>
  <c r="H2" i="1"/>
  <c r="A2" i="1"/>
</calcChain>
</file>

<file path=xl/sharedStrings.xml><?xml version="1.0" encoding="utf-8"?>
<sst xmlns="http://schemas.openxmlformats.org/spreadsheetml/2006/main" count="228" uniqueCount="34">
  <si>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</si>
  <si>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</si>
  <si>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</si>
  <si>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</si>
  <si>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</si>
  <si>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</si>
  <si>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</si>
  <si>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</si>
  <si>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</si>
  <si>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BARRA DE JANGADA</t>
  </si>
  <si>
    <t>MOTO 29 SERVICE LTDA ME</t>
  </si>
  <si>
    <t>https://fpmf-sistemas.org.br/sistemas/aplic/transp/menu_ext_fpmf/</t>
  </si>
  <si>
    <t>MV INFORMÁTICA NORDESTE LTDA</t>
  </si>
  <si>
    <t xml:space="preserve">AIR LIQUIDE BRASIL LTDA </t>
  </si>
  <si>
    <t>SÍNTESE PRESTAÇÃO DE SERVIÇOS E ASSESSORIA EMPRESARIAL LTDA</t>
  </si>
  <si>
    <t>NORÕES, AZEVEDO &amp; ADVOGADOS ASSOCIADOS</t>
  </si>
  <si>
    <t>INTERCLEAN ADMINISTRAÇÃO LTDA - ME</t>
  </si>
  <si>
    <t>LAVEBRAS GESTÃO DE TÊXTEIS S.A.</t>
  </si>
  <si>
    <t>COMPLETA SERVIÇOS DE AR CONDICIONADO ELOC LTDA</t>
  </si>
  <si>
    <t>SAMTRONIC INDUSTRIA E COMÉRCIO LTDA</t>
  </si>
  <si>
    <t>WHITE MARTINS GASES INDUSTRIAIS DO NORDESTE LTDA</t>
  </si>
  <si>
    <t>SERV IMAGEM NORDESTE ASSISTÊNCIA TÉCNICA LTDA</t>
  </si>
  <si>
    <t>RGRAPH COMÉRCIO E SERVIÇOS LTDA - ME</t>
  </si>
  <si>
    <t>BRASCON GESTÃO AMBIENTAL LTDA</t>
  </si>
  <si>
    <t xml:space="preserve">ACESSPLUS MANUTENÇÃO LTDA  ME </t>
  </si>
  <si>
    <t>DA TERRA - PAISAGISMO &amp; JARDINAGEM LTDA</t>
  </si>
  <si>
    <t>MEDCALL COMÉRCIO SERVIÇOS E REPRESENTAÇÕES DE MATERIAIS RADIOLÓGICOS E MÉDICO HOSPITALAR LTDA - ME</t>
  </si>
  <si>
    <t>NEWMED COMÉRCIO E SERVIÇO DE EQUIPAMENTOS MÉDICOS HOSPITALARES LTDA - ME</t>
  </si>
  <si>
    <t>INSPETORIA SALESIANA DO NORDESTE DO BRASIL</t>
  </si>
  <si>
    <t>LINUS LOG LTDA</t>
  </si>
  <si>
    <t>FUNDAÇÃO DE APOIO AO DESENVOLVIMENTODA UNIVERSIDADE FEDERAL DE PERNANBUCO</t>
  </si>
  <si>
    <t>LUMI CONSULTORIA E SERIÇOS LTDA</t>
  </si>
  <si>
    <t>M.T.G. MONTAGEM TECNICA DE GÁS LTDA - ME</t>
  </si>
  <si>
    <t xml:space="preserve">JL GRUPOS GERADORES LTDA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</si>
</sst>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3" borderId="4" xfId="0" applyNumberFormat="1" applyFill="1" applyBorder="1" applyAlignment="1" applyProtection="1">
      <alignment horizontal="center" vertical="center"/>
      <protection locked="0"/>
    </xf>
    <xf numFmtId="165" fontId="3" fillId="3" borderId="3" xfId="1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166" fontId="3" fillId="3" borderId="4" xfId="0" applyNumberFormat="1" applyFont="1" applyFill="1" applyBorder="1" applyAlignment="1" applyProtection="1">
      <alignment horizontal="center"/>
      <protection locked="0"/>
    </xf>
    <xf numFmtId="14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vertical="center"/>
      <protection locked="0"/>
    </xf>
    <xf numFmtId="0" fontId="5" fillId="3" borderId="4" xfId="2" applyFont="1" applyFill="1" applyBorder="1" applyAlignment="1" applyProtection="1">
      <alignment wrapText="1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07.JULHO/PCF_07%202020%20UPA%20BARRA%20DE%20JANGADA%20-%20REV%2006%20-%20em%201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Pagamentos Indevidos (Enseja Devolução) - Enviar Nota Explicativa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Antecipados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Débito Bloqueio Judicial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Outros Débitos (enviar nota explicativa)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Impostos (Fgts / Inss / IR / PIS)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Folha de Pagamento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Aplicações Financeiras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Saque (Fundo Fixo)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 xml:space="preserve"> 1.4. Benefícios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TAC</v>
          </cell>
          <cell r="AK14" t="str">
            <v xml:space="preserve"> 2.1. Materiais Descartáveis/Materiais de Penso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K15" t="str">
            <v xml:space="preserve"> 2.2. Medicamentos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2.3. Dietas Industrializadas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2.4. Gases Medicinais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2.5. OPME (Orteses, Próteses e Materiais Especiais)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2.6. Material de uso odontológico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2.7. Material laboratorial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2.8. Outras Despesas com Insumos Assistenciais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3.1. Material de Higienização e Limpeza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3.2. Material/Gêneros Alimentícios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3.3. Material Expediente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3.4. Combustível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3.5. GLP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3.6.1. Manutenção de Bem Imóvel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3.6.2.1. Suprimentos de Informática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3.6.2.2.1. Lubrificantes Veiculares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3.6.2.2.2. Outros Materiais de Manutenção de Veículos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3.6.2.3. Equipamento Médico-Hospitalar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3.6.2.4. Outros Materiais de Manutenção de Bem Móvel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3.7. Tecidos, Fardamentos e EPI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3.8. Outras Despesas com Materiais Diversos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>4.1. Seguros (Imóvel e veículos)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4.2.1. Taxas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4.2.2. Contribuições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4.3.1. Taxa de Manutenção de Conta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4.3.2. Tarifas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5.1.1. Telefonia Móvel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5.1.2. Telefonia Fixa/Internet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5.2. Água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5.3. Energia Elétrica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5.4.1. Locação de Imóvel (Pessoa Física)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5.4.2. Locação de Máquinas e Equipamentos (Pessoa Jurídica)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5.4.3. Locação de Equipamentos Médico-Hospitalares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5.4.4. Locação de Veículos Automotores (Pessoa Jurídica) (Exceto Ambulância)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5.5. Serviço Gráficos, de Encadernação e de Emolduração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5.6. Serviços Judiciais e Cartoriais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5.7.1. Outras Despesas Gerais (Pessoa Física)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5.7.2. Outras Despesas Gerais (Pessoa Juridica)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6.1.1.1. Médicos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6.1.1.2. Outros profissionais de saúde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6.1.1.3. Laboratório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6.1.1.4. Alimentação/Dietas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6.1.1.5. Locação de Ambulâncias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6.1.1.6. Outras Pessoas Jurídicas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6.1.2.1. Médicos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6.1.2.2. Outros profissionais de saúde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6.1.2.3. Farmacêutico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6.1.3.1. Médicos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6.1.3.2. Outros profissionais de saúde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6.2.1. Pessoa Jurídica</v>
          </cell>
        </row>
        <row r="64">
          <cell r="B64" t="str">
            <v>6.3.1.7. Dedetização</v>
          </cell>
          <cell r="D64">
            <v>45658</v>
          </cell>
          <cell r="AK64" t="str">
            <v>6.2.2. Pessoa Física</v>
          </cell>
        </row>
        <row r="65">
          <cell r="B65" t="str">
            <v>6.3.1.8. Limpeza</v>
          </cell>
          <cell r="D65">
            <v>45689</v>
          </cell>
          <cell r="AK65" t="str">
            <v>6.2.3. Cooperativas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6.3.1.1.1. Lavanderia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6.3.1.1.2.Serviços de Cozinha e Copeira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6.3.1.1.3. Outros Serviços Domésticos</v>
          </cell>
        </row>
        <row r="69">
          <cell r="B69" t="str">
            <v>6.3.2.3. Outros Serviços</v>
          </cell>
          <cell r="D69">
            <v>45809</v>
          </cell>
          <cell r="AK69" t="str">
            <v>6.3.1.2. Coleta de Lixo Hospitalar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6.3.1.3. Manutenção/Aluguel/Uso de Sistemas ou Softwares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6.3.1.4. Vigilância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6.3.1.5. Consultorias e Treinamentos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6.3.1.6. Serviços Técnicos Profissionais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6.3.1.7. Dedetização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6.3.1.8. Limpeza</v>
          </cell>
        </row>
        <row r="76">
          <cell r="B76" t="str">
            <v>7.2.1.2. Equipamentos de Informática</v>
          </cell>
          <cell r="AK76" t="str">
            <v>6.3.1.9. Outras Pessoas Jurídicas</v>
          </cell>
        </row>
        <row r="77">
          <cell r="B77" t="str">
            <v>7.2.1.3. Engenharia Clínica</v>
          </cell>
          <cell r="AK77" t="str">
            <v>6.3.2.1. Técnico Profissional (Nível Superior)</v>
          </cell>
        </row>
        <row r="78">
          <cell r="B78" t="str">
            <v>7.2.1.4. Outros Reparos e Manutenção de Máquinas e Equipamentos</v>
          </cell>
          <cell r="AK78" t="str">
            <v>6.3.2.2. Apoio Administrativo, Técnico e Operacional</v>
          </cell>
        </row>
        <row r="79">
          <cell r="B79" t="str">
            <v>7.2.2. Reparo e Manutenção de Bens Imóveis</v>
          </cell>
          <cell r="AK79" t="str">
            <v>6.3.2.3. Outros Serviços</v>
          </cell>
        </row>
        <row r="80">
          <cell r="B80" t="str">
            <v>7.2.3. Reparo e Manutenção de Veículos</v>
          </cell>
          <cell r="AK80" t="str">
            <v>7.1.1.1. Equipamentos Médico-Hospitalar</v>
          </cell>
        </row>
        <row r="81">
          <cell r="B81" t="str">
            <v>7.2.4. Reparo e Manutenção de Bens Móveis de Outras Naturezas</v>
          </cell>
          <cell r="AK81" t="str">
            <v>7.1.1.2. Equipamentos de Informática</v>
          </cell>
        </row>
        <row r="82">
          <cell r="B82" t="str">
            <v>8.1. Equipamentos</v>
          </cell>
          <cell r="AK82" t="str">
            <v>7.1.1.3. Outros Reparos e Manutenção de Equipamentos</v>
          </cell>
        </row>
        <row r="83">
          <cell r="B83" t="str">
            <v>8.2. Móveis e Utensílios</v>
          </cell>
          <cell r="AK83" t="str">
            <v>7.1.2. Reparo e Manutenção de Bens Móveis de Outras Naturezas</v>
          </cell>
        </row>
        <row r="84">
          <cell r="B84" t="str">
            <v>8.3. Obras e Construções</v>
          </cell>
          <cell r="AK84" t="str">
            <v>7.1.3. Reparo e Manutenção de Bens Imóveis</v>
          </cell>
        </row>
        <row r="85">
          <cell r="B85" t="str">
            <v>8.4. Outras despesas Investimentos</v>
          </cell>
          <cell r="AK85" t="str">
            <v>7.2.1.1. Equipamentos Médico-Hospitalar</v>
          </cell>
        </row>
        <row r="86">
          <cell r="B86" t="str">
            <v>9.1 EQUIPAMENTOS</v>
          </cell>
          <cell r="AK86" t="str">
            <v>7.2.1.2. Equipamentos de Informática</v>
          </cell>
        </row>
        <row r="87">
          <cell r="B87" t="str">
            <v>9.2 MÓVEIS E UTENSÍLIOS</v>
          </cell>
          <cell r="AK87" t="str">
            <v>7.2.1.3. Engenharia Clínica</v>
          </cell>
        </row>
        <row r="88">
          <cell r="B88" t="str">
            <v>9.3 OBRAS E CONSTRUÇÕES</v>
          </cell>
          <cell r="AK88" t="str">
            <v>7.2.1.4. Outros Reparos e Manutenção de Máquinas e Equipamentos</v>
          </cell>
        </row>
        <row r="89">
          <cell r="B89" t="str">
            <v>9.4 VEÍCULOS</v>
          </cell>
          <cell r="AK89" t="str">
            <v>7.2.2. Reparo e Manutenção de Bens Imóveis</v>
          </cell>
        </row>
        <row r="90">
          <cell r="B90" t="str">
            <v>9.5 OUTRAS DESPESAS COM INVESTIMENTOS</v>
          </cell>
          <cell r="AK90" t="str">
            <v>7.2.3. Reparo e Manutenção de Veículos</v>
          </cell>
        </row>
        <row r="91">
          <cell r="B91" t="str">
            <v>10. Despesas com Ensino e Pesquisa</v>
          </cell>
          <cell r="AK91" t="str">
            <v>7.2.4. Reparo e Manutenção de Bens Móveis de Outras Naturezas</v>
          </cell>
        </row>
        <row r="92">
          <cell r="B92" t="str">
            <v>11. Despesa(s) de Competência(s) Anterior(es)</v>
          </cell>
          <cell r="AK92" t="str">
            <v>8.1. Equipamentos</v>
          </cell>
        </row>
        <row r="93">
          <cell r="B93" t="str">
            <v>11.2.1. Materiais Descartáveis/Materiais de Penso</v>
          </cell>
          <cell r="AK93" t="str">
            <v>8.2. Móveis e Utensílios</v>
          </cell>
        </row>
        <row r="94">
          <cell r="B94" t="str">
            <v>11.2.2. Medicamentos</v>
          </cell>
          <cell r="AK94" t="str">
            <v>8.3. Obras e Construções</v>
          </cell>
        </row>
        <row r="95">
          <cell r="B95" t="str">
            <v>11.2.3. Dietas Industrializadas</v>
          </cell>
          <cell r="AK95" t="str">
            <v>8.4. Outras despesas Investimentos</v>
          </cell>
        </row>
        <row r="96">
          <cell r="B96" t="str">
            <v>11.2.4. Gases Medicinais</v>
          </cell>
          <cell r="AK96" t="str">
            <v>9.1 EQUIPAMENTOS</v>
          </cell>
        </row>
        <row r="97">
          <cell r="B97" t="str">
            <v>11.2.5. OPME (Orteses, Próteses e Materiais Especiais)</v>
          </cell>
          <cell r="AK97" t="str">
            <v>9.2 MÓVEIS E UTENSÍLIOS</v>
          </cell>
        </row>
        <row r="98">
          <cell r="B98" t="str">
            <v>11.2.6. Material de uso odontológico</v>
          </cell>
          <cell r="AK98" t="str">
            <v>9.3 OBRAS E CONSTRUÇÕES</v>
          </cell>
        </row>
        <row r="99">
          <cell r="B99" t="str">
            <v>11.2.7. Material laboratorial</v>
          </cell>
          <cell r="AK99" t="str">
            <v>9.4 VEÍCULOS</v>
          </cell>
        </row>
        <row r="100">
          <cell r="B100" t="str">
            <v>11.2.8. Outras Despesas com Insumos Assistenciais</v>
          </cell>
          <cell r="AK100" t="str">
            <v>9.5 OUTRAS DESPESAS COM INVESTIMENTOS</v>
          </cell>
        </row>
        <row r="101">
          <cell r="B101" t="str">
            <v>11.3.1. Material de Higienização e Limpeza</v>
          </cell>
          <cell r="AK101" t="str">
            <v>10. Despesas com Ensino e Pesquisa</v>
          </cell>
        </row>
        <row r="102">
          <cell r="B102" t="str">
            <v>11.3.2. Material/Gêneros Alimentícios</v>
          </cell>
          <cell r="AK102" t="str">
            <v>11. Despesa(s) de Competência(s) Anterior(es)</v>
          </cell>
        </row>
        <row r="103">
          <cell r="B103" t="str">
            <v>11.3.3. Material Expediente</v>
          </cell>
          <cell r="AK103" t="str">
            <v>11.2.1. Materiais Descartáveis/Materiais de Penso</v>
          </cell>
        </row>
        <row r="104">
          <cell r="B104" t="str">
            <v>11.3.4. Combustível</v>
          </cell>
          <cell r="AK104" t="str">
            <v>11.2.2. Medicamentos</v>
          </cell>
        </row>
        <row r="105">
          <cell r="B105" t="str">
            <v>11.3.5. GLP</v>
          </cell>
          <cell r="AK105" t="str">
            <v>11.2.3. Dietas Industrializadas</v>
          </cell>
        </row>
        <row r="106">
          <cell r="B106" t="str">
            <v>11.3.6.1. Manurtenção de Bem Imóvel</v>
          </cell>
          <cell r="AK106" t="str">
            <v>11.2.4. Gases Medicinais</v>
          </cell>
        </row>
        <row r="107">
          <cell r="B107" t="str">
            <v>11.3.6.2.1. Equipamentos de Informática</v>
          </cell>
          <cell r="AK107" t="str">
            <v>11.2.5. OPME (Orteses, Próteses e Materiais Especiais)</v>
          </cell>
        </row>
        <row r="108">
          <cell r="B108" t="str">
            <v>11.3.6.2.2.1. Lubrificantes Veiculares</v>
          </cell>
          <cell r="AK108" t="str">
            <v>11.2.6. Material de uso odontológico</v>
          </cell>
        </row>
        <row r="109">
          <cell r="B109" t="str">
            <v>11.3.6.2.2.2. Outros Materiais de Manutenção de Veículos</v>
          </cell>
          <cell r="AK109" t="str">
            <v>11.2.7. Material laboratorial</v>
          </cell>
        </row>
        <row r="110">
          <cell r="B110" t="str">
            <v>11.3.6.2.3. Equipamento Médico-Hospitalar</v>
          </cell>
          <cell r="AK110" t="str">
            <v>11.2.8. Outras Despesas com Insumos Assistenciais</v>
          </cell>
        </row>
        <row r="111">
          <cell r="B111" t="str">
            <v>11.3.6.2.4. Outros materiais de Manutenção de Bem Móvel</v>
          </cell>
          <cell r="AK111" t="str">
            <v>11.3.1. Material de Higienização e Limpeza</v>
          </cell>
        </row>
        <row r="112">
          <cell r="B112" t="str">
            <v>11.3.7. Tecidos, Fardamentos e EPI</v>
          </cell>
          <cell r="AK112" t="str">
            <v>11.3.2. Material/Gêneros Alimentícios</v>
          </cell>
        </row>
        <row r="113">
          <cell r="B113" t="str">
            <v>11.3.8. Outras Despesas com Materiais Diversos</v>
          </cell>
          <cell r="AK113" t="str">
            <v>11.3.3. Material Expediente</v>
          </cell>
        </row>
        <row r="114">
          <cell r="B114" t="str">
            <v>11.4.1. Seguros (Imóvel e veículos)</v>
          </cell>
          <cell r="AK114" t="str">
            <v>11.3.4. Combustível</v>
          </cell>
        </row>
        <row r="115">
          <cell r="B115" t="str">
            <v>11.4.2.1. Taxas</v>
          </cell>
          <cell r="AK115" t="str">
            <v>11.3.5. GLP</v>
          </cell>
        </row>
        <row r="116">
          <cell r="B116" t="str">
            <v>11.4.2.2. Contribuições</v>
          </cell>
          <cell r="AK116" t="str">
            <v>11.3.6.1. Manurtenção de Bem Imóvel</v>
          </cell>
        </row>
        <row r="117">
          <cell r="B117" t="str">
            <v>11.4.3.1. Taxa de Manutenção de Conta</v>
          </cell>
          <cell r="AK117" t="str">
            <v>11.3.6.2.1. Equipamentos de Informática</v>
          </cell>
        </row>
        <row r="118">
          <cell r="B118" t="str">
            <v>11.4.3.2. Tarifas</v>
          </cell>
          <cell r="AK118" t="str">
            <v>11.3.6.2.2.1. Lubrificantes Veiculares</v>
          </cell>
        </row>
        <row r="119">
          <cell r="B119" t="str">
            <v>11.5.1.1. Telefonia Móvel</v>
          </cell>
          <cell r="AK119" t="str">
            <v>11.3.6.2.2.2. Outros Materiais de Manutenção de Veículos</v>
          </cell>
        </row>
        <row r="120">
          <cell r="B120" t="str">
            <v>11.5.1.2. Telefonia Fixa/Internet</v>
          </cell>
          <cell r="AK120" t="str">
            <v>11.3.6.2.3. Equipamento Médico-Hospitalar</v>
          </cell>
        </row>
        <row r="121">
          <cell r="B121" t="str">
            <v>11.5.2. Água</v>
          </cell>
          <cell r="AK121" t="str">
            <v>11.3.6.2.4. Outros materiais de Manutenção de Bem Móvel</v>
          </cell>
        </row>
        <row r="122">
          <cell r="B122" t="str">
            <v>11.5.3. Energia Elétrica</v>
          </cell>
          <cell r="AK122" t="str">
            <v>11.3.7. Tecidos, Fardamentos e EPI</v>
          </cell>
        </row>
        <row r="123">
          <cell r="B123" t="str">
            <v>11.5.4.1. Locação de Imóvel (Pessoa Física)</v>
          </cell>
          <cell r="AK123" t="str">
            <v>11.3.8. Outras Despesas com Materiais Diversos</v>
          </cell>
        </row>
        <row r="124">
          <cell r="B124" t="str">
            <v>11.5.4.2. Locação de Máquinas e Equipamentos (Pessoa Jurídica)</v>
          </cell>
          <cell r="AK124" t="str">
            <v>11.4.1. Seguros (Imóvel e veículos)</v>
          </cell>
        </row>
        <row r="125">
          <cell r="B125" t="str">
            <v>11.5.4.3. Locação de Equipamentos Médico-Hospitalares (Pessoa Jurídica)</v>
          </cell>
          <cell r="AK125" t="str">
            <v>11.4.2.1. Taxas</v>
          </cell>
        </row>
        <row r="126">
          <cell r="B126" t="str">
            <v>11.5.4.4. Locação de Veículos Automotores (Pessoa Jurídica) (Exceto Ambulância)</v>
          </cell>
          <cell r="AK126" t="str">
            <v>11.4.2.2. Contribuições</v>
          </cell>
        </row>
        <row r="127">
          <cell r="B127" t="str">
            <v>11.5.5. Serviço Gráficos, de Encadernação e de Emolduração</v>
          </cell>
          <cell r="AK127" t="str">
            <v>11.4.3.1. Taxa de Manutenção de Conta</v>
          </cell>
        </row>
        <row r="128">
          <cell r="B128" t="str">
            <v>11.5.6. Serviços Judiciais e Cartoriais</v>
          </cell>
          <cell r="AK128" t="str">
            <v>11.4.3.2. Tarifas</v>
          </cell>
        </row>
        <row r="129">
          <cell r="B129" t="str">
            <v>11.5.7.1. Outras Despesas Gerais (Pessoa Física)</v>
          </cell>
          <cell r="AK129" t="str">
            <v>11.5.1.1. Telefonia Móvel</v>
          </cell>
        </row>
        <row r="130">
          <cell r="B130" t="str">
            <v>11.5.7.2. Outras Despesas Gerais (Pessoa Juridica)</v>
          </cell>
          <cell r="AK130" t="str">
            <v>11.5.1.2. Telefonia Fixa/Internet</v>
          </cell>
        </row>
        <row r="131">
          <cell r="B131" t="str">
            <v>11.6.1.1.1. Médicos</v>
          </cell>
          <cell r="AK131" t="str">
            <v>11.5.2. Água</v>
          </cell>
        </row>
        <row r="132">
          <cell r="B132" t="str">
            <v>11.6.1.1.2. Outros profissionais de saúde</v>
          </cell>
          <cell r="AK132" t="str">
            <v>11.5.3. Energia Elétrica</v>
          </cell>
        </row>
        <row r="133">
          <cell r="B133" t="str">
            <v>11.6.1.1.3. Laboratório</v>
          </cell>
          <cell r="AK133" t="str">
            <v>11.5.4.1. Locação de Imóvel (Pessoa Física)</v>
          </cell>
        </row>
        <row r="134">
          <cell r="B134" t="str">
            <v>11.6.1.1.4. Alimentação/Dietas</v>
          </cell>
          <cell r="AK134" t="str">
            <v>11.5.4.2. Locação de Máquinas e Equipamentos (Pessoa Jurídica)</v>
          </cell>
        </row>
        <row r="135">
          <cell r="B135" t="str">
            <v>11.6.1.1.5. Locação de Ambulâncias</v>
          </cell>
          <cell r="AK135" t="str">
            <v>11.5.4.3. Locação de Equipamentos Médico-Hospitalares (Pessoa Jurídica)</v>
          </cell>
        </row>
        <row r="136">
          <cell r="B136" t="str">
            <v>11.6.1.1.6. Outras Pessoas Jurídicas</v>
          </cell>
          <cell r="AK136" t="str">
            <v>11.5.4.4. Locação de Veículos Automotores (Pessoa Jurídica) (Exceto Ambulância)</v>
          </cell>
        </row>
        <row r="137">
          <cell r="B137" t="str">
            <v>11.6.1.2.1. Médicos</v>
          </cell>
          <cell r="AK137" t="str">
            <v>11.5.5. Serviço Gráficos, de Encadernação e de Emolduração</v>
          </cell>
        </row>
        <row r="138">
          <cell r="B138" t="str">
            <v>11.6.1.2.2. Outros profissionais de saúde</v>
          </cell>
          <cell r="AK138" t="str">
            <v>11.5.6. Serviços Judiciais e Cartoriais</v>
          </cell>
        </row>
        <row r="139">
          <cell r="B139" t="str">
            <v>11.6.1.2.3. Farmacêutico</v>
          </cell>
          <cell r="AK139" t="str">
            <v>11.5.7.1. Outras Despesas Gerais (Pessoa Física)</v>
          </cell>
        </row>
        <row r="140">
          <cell r="B140" t="str">
            <v>11.6.1.3.1. Médicos</v>
          </cell>
          <cell r="AK140" t="str">
            <v>11.5.7.2. Outras Despesas Gerais (Pessoa Juridica)</v>
          </cell>
        </row>
        <row r="141">
          <cell r="B141" t="str">
            <v>11.6.1.3.2. Outros profissionais de saúde</v>
          </cell>
          <cell r="AK141" t="str">
            <v>11.6.1.1.1. Médicos</v>
          </cell>
        </row>
        <row r="142">
          <cell r="B142" t="str">
            <v>11.6.2.1. Pessoa Jurídica</v>
          </cell>
          <cell r="AK142" t="str">
            <v>11.6.1.1.2. Outros profissionais de saúde</v>
          </cell>
        </row>
        <row r="143">
          <cell r="B143" t="str">
            <v>11.6.2.2. Pessoa Física</v>
          </cell>
          <cell r="AK143" t="str">
            <v>11.6.1.1.3. Laboratório</v>
          </cell>
        </row>
        <row r="144">
          <cell r="B144" t="str">
            <v>11.6.2.3. Cooperativas</v>
          </cell>
          <cell r="AK144" t="str">
            <v>11.6.1.1.4. Alimentação/Dietas</v>
          </cell>
        </row>
        <row r="145">
          <cell r="B145" t="str">
            <v>11.6.3.1.1.1. Lavanderia</v>
          </cell>
          <cell r="AK145" t="str">
            <v>11.6.1.1.5. Locação de Ambulâncias</v>
          </cell>
        </row>
        <row r="146">
          <cell r="B146" t="str">
            <v>11.6.3.1.1.2.Serviços de Cozinha e Copeira</v>
          </cell>
          <cell r="AK146" t="str">
            <v>11.6.1.1.6. Outras Pessoas Jurídicas</v>
          </cell>
        </row>
        <row r="147">
          <cell r="B147" t="str">
            <v>11.6.3.1.1.3. Outros Serviços Domésticos</v>
          </cell>
          <cell r="AK147" t="str">
            <v>11.6.1.2.1. Médicos</v>
          </cell>
        </row>
        <row r="148">
          <cell r="B148" t="str">
            <v>11.6.3.1.2. Coleta de Lixo Hospitalar</v>
          </cell>
          <cell r="AK148" t="str">
            <v>11.6.1.2.2. Outros profissionais de saúde</v>
          </cell>
        </row>
        <row r="149">
          <cell r="B149" t="str">
            <v>11.6.3.1.3. Manutenção/Aluguel/Uso de Sistemas ou Softwares</v>
          </cell>
          <cell r="AK149" t="str">
            <v>11.6.1.2.3. Farmacêutico</v>
          </cell>
        </row>
        <row r="150">
          <cell r="B150" t="str">
            <v>11.6.3.1.4. Vigilância</v>
          </cell>
          <cell r="AK150" t="str">
            <v>11.6.1.3.1. Médicos</v>
          </cell>
        </row>
        <row r="151">
          <cell r="B151" t="str">
            <v>11.6.3.1.5. Consultorias e Treinamentos</v>
          </cell>
          <cell r="AK151" t="str">
            <v>11.6.1.3.2. Outros profissionais de saúde</v>
          </cell>
        </row>
        <row r="152">
          <cell r="B152" t="str">
            <v>11.6.3.1.6. Serviços Técnicos Profissionais</v>
          </cell>
          <cell r="AK152" t="str">
            <v>11.6.2.1. Pessoa Jurídica</v>
          </cell>
        </row>
        <row r="153">
          <cell r="B153" t="str">
            <v>11.6.3.1.7. Dedetização</v>
          </cell>
          <cell r="AK153" t="str">
            <v>11.6.2.2. Pessoa Física</v>
          </cell>
        </row>
        <row r="154">
          <cell r="B154" t="str">
            <v>11.6.3.1.8. Limpeza</v>
          </cell>
          <cell r="AK154" t="str">
            <v>11.6.2.3. Cooperativas</v>
          </cell>
        </row>
        <row r="155">
          <cell r="B155" t="str">
            <v>11.6.3.1.9. Outras Pessoas Jurídicas</v>
          </cell>
          <cell r="AK155" t="str">
            <v>11.6.3.1.1.1. Lavanderia</v>
          </cell>
        </row>
        <row r="156">
          <cell r="B156" t="str">
            <v>11.6.3.2.1. Técnico Profissional (Nível Superior)</v>
          </cell>
          <cell r="AK156" t="str">
            <v>11.6.3.1.1.2.Serviços de Cozinha e Copeira</v>
          </cell>
        </row>
        <row r="157">
          <cell r="B157" t="str">
            <v>11.6.3.2.2. Tecnico Operacional (Nível Médio / Elementar)</v>
          </cell>
          <cell r="AK157" t="str">
            <v>11.6.3.1.1.3. Outros Serviços Domésticos</v>
          </cell>
        </row>
        <row r="158">
          <cell r="B158" t="str">
            <v>11.6.3.2.3. Outros Serviços</v>
          </cell>
          <cell r="AK158" t="str">
            <v>11.6.3.1.2. Coleta de Lixo Hospitalar</v>
          </cell>
        </row>
        <row r="159">
          <cell r="B159" t="str">
            <v>11.7.1.1.1. Equipamentos Médico-Hospitalar</v>
          </cell>
          <cell r="AK159" t="str">
            <v>11.6.3.1.3. Manutenção/Aluguel/Uso de Sistemas ou Softwares</v>
          </cell>
        </row>
        <row r="160">
          <cell r="B160" t="str">
            <v>11.7.1.1.2. Equipamentos de Informática</v>
          </cell>
          <cell r="AK160" t="str">
            <v>11.6.3.1.4. Vigilância</v>
          </cell>
        </row>
        <row r="161">
          <cell r="B161" t="str">
            <v>11.7.1.1.3. Outros</v>
          </cell>
          <cell r="AK161" t="str">
            <v>11.6.3.1.5. Consultorias e Treinamentos</v>
          </cell>
        </row>
        <row r="162">
          <cell r="B162" t="str">
            <v>11.7.1.2. Reparo e Manutenção de Bens Móveis de Outras Naturezas</v>
          </cell>
          <cell r="AK162" t="str">
            <v>11.6.3.1.6. Serviços Técnicos Profissionais</v>
          </cell>
        </row>
        <row r="163">
          <cell r="B163" t="str">
            <v>11.7.1.3. Reparo e Manutenção de Bens Imóveis</v>
          </cell>
          <cell r="AK163" t="str">
            <v>11.6.3.1.7. Dedetização</v>
          </cell>
        </row>
        <row r="164">
          <cell r="B164" t="str">
            <v>11.7.2.1.1. Equipamentos Médico-Hospitalar</v>
          </cell>
          <cell r="AK164" t="str">
            <v>11.6.3.1.8. Limpeza</v>
          </cell>
        </row>
        <row r="165">
          <cell r="B165" t="str">
            <v>11.7.2.1.2. Equipamentos de Informática</v>
          </cell>
          <cell r="AK165" t="str">
            <v>11.6.3.1.9. Outras Pessoas Jurídicas</v>
          </cell>
        </row>
        <row r="166">
          <cell r="B166" t="str">
            <v>11.7.2.1.3. Engenharia Clínica</v>
          </cell>
          <cell r="AK166" t="str">
            <v>11.6.3.2.1. Técnico Profissional (Nível Superior)</v>
          </cell>
        </row>
        <row r="167">
          <cell r="B167" t="str">
            <v>11.7.2.1.4. Outros Reparos e Manutenção de Máquinas e Equipamentos</v>
          </cell>
          <cell r="AK167" t="str">
            <v>11.6.3.2.2. Tecnico Operacional (Nível Médio / Elementar)</v>
          </cell>
        </row>
        <row r="168">
          <cell r="B168" t="str">
            <v>11.7.2.2. Reparo e Manutenção de Bens Imóveis</v>
          </cell>
          <cell r="AK168" t="str">
            <v>11.6.3.2.3. Outros Serviços</v>
          </cell>
        </row>
        <row r="169">
          <cell r="B169" t="str">
            <v>11.7.2.3. Reparo e Manutenção de Veículos</v>
          </cell>
          <cell r="AK169" t="str">
            <v>11.7.1.1.1. Equipamentos Médico-Hospitalar</v>
          </cell>
        </row>
        <row r="170">
          <cell r="B170" t="str">
            <v>11.7.2.4. Reparo e Manutenção de Bens Móveis de Outras Naturezas</v>
          </cell>
          <cell r="AK170" t="str">
            <v>11.7.1.1.2. Equipamentos de Informática</v>
          </cell>
        </row>
        <row r="171">
          <cell r="B171" t="str">
            <v>11.8.1. Equipamentos</v>
          </cell>
          <cell r="AK171" t="str">
            <v>11.7.1.1.3. Outros</v>
          </cell>
        </row>
        <row r="172">
          <cell r="B172" t="str">
            <v>11.8.2. Móveis e Utensílios</v>
          </cell>
          <cell r="AK172" t="str">
            <v>11.7.1.2. Reparo e Manutenção de Bens Móveis de Outras Naturezas</v>
          </cell>
        </row>
        <row r="173">
          <cell r="B173" t="str">
            <v>11.8.3. Obras e Construções</v>
          </cell>
          <cell r="AK173" t="str">
            <v>11.7.1.3. Reparo e Manutenção de Bens Imóveis</v>
          </cell>
        </row>
        <row r="174">
          <cell r="B174" t="str">
            <v>11.8.4. Outras despesas Investimentos</v>
          </cell>
          <cell r="AK174" t="str">
            <v>11.7.2.1.1. Equipamentos Médico-Hospitalar</v>
          </cell>
        </row>
        <row r="175">
          <cell r="B175" t="str">
            <v>11.9.1 EQUIPAMENTOS</v>
          </cell>
          <cell r="AK175" t="str">
            <v>11.7.2.1.2. Equipamentos de Informática</v>
          </cell>
        </row>
        <row r="176">
          <cell r="B176" t="str">
            <v>11.9.2 MÓVEIS E UTENSÍLIOS</v>
          </cell>
          <cell r="AK176" t="str">
            <v>11.7.2.1.3. Engenharia Clínica</v>
          </cell>
        </row>
        <row r="177">
          <cell r="B177" t="str">
            <v>11.9.3 OBRAS E CONSTRUÇÕES</v>
          </cell>
          <cell r="AK177" t="str">
            <v>11.7.2.1.4. Outros Reparos e Manutenção de Máquinas e Equipamentos</v>
          </cell>
        </row>
        <row r="178">
          <cell r="B178" t="str">
            <v>11.9.4 VEÍCULOS</v>
          </cell>
          <cell r="AK178" t="str">
            <v>11.7.2.2. Reparo e Manutenção de Bens Imóveis</v>
          </cell>
        </row>
        <row r="179">
          <cell r="B179" t="str">
            <v>11.9.5 OUTRAS DESPESAS COM INVESTIMENTOS</v>
          </cell>
          <cell r="AK179" t="str">
            <v>11.7.2.3. Reparo e Manutenção de Veículos</v>
          </cell>
        </row>
        <row r="180">
          <cell r="B180" t="str">
            <v>11.10. Despesas com Ensino e Pesquisa</v>
          </cell>
          <cell r="AK180" t="str">
            <v>11.7.2.4. Reparo e Manutenção de Bens Móveis de Outras Naturezas</v>
          </cell>
        </row>
        <row r="181">
          <cell r="AK181" t="str">
            <v>11.8.1. Equipamentos</v>
          </cell>
        </row>
        <row r="182">
          <cell r="AK182" t="str">
            <v>11.8.2. Móveis e Utensílios</v>
          </cell>
        </row>
        <row r="183">
          <cell r="AK183" t="str">
            <v>11.8.3. Obras e Construções</v>
          </cell>
        </row>
        <row r="184">
          <cell r="AK184" t="str">
            <v>11.8.4. Outras despesas Investimentos</v>
          </cell>
        </row>
        <row r="185">
          <cell r="AK185" t="str">
            <v>11.9.1 EQUIPAMENTOS</v>
          </cell>
        </row>
        <row r="186">
          <cell r="AK186" t="str">
            <v>11.9.2 MÓVEIS E UTENSÍLIOS</v>
          </cell>
        </row>
        <row r="187">
          <cell r="AK187" t="str">
            <v>11.9.3 OBRAS E CONSTRUÇÕES</v>
          </cell>
        </row>
        <row r="188">
          <cell r="AK188" t="str">
            <v>11.9.4 VEÍCULOS</v>
          </cell>
        </row>
        <row r="189">
          <cell r="AK189" t="str">
            <v>11.9.5 OUTRAS DESPESAS COM INVESTIMENTOS</v>
          </cell>
        </row>
        <row r="190">
          <cell r="AK190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63D68-09F6-46EB-9C7F-F2A4F949AA77}">
  <sheetPr>
    <tabColor indexed="13"/>
  </sheetPr>
  <dimension ref="A1:I991"/>
  <sheetViews>
    <sheetView showGridLines="0" tabSelected="1" zoomScale="90" zoomScaleNormal="90" workbookViewId="0">
      <selection activeCell="B79" sqref="B79"/>
    </sheetView>
  </sheetViews>
  <sheetFormatPr defaultColWidth="8.7109375" defaultRowHeight="12.75" x14ac:dyDescent="0.2"/>
  <cols>
    <col min="1" max="1" width="32" style="19" customWidth="1"/>
    <col min="2" max="2" width="38" style="19" customWidth="1"/>
    <col min="3" max="3" width="33.140625" style="20" customWidth="1"/>
    <col min="4" max="4" width="47.28515625" customWidth="1"/>
    <col min="5" max="5" width="27.140625" style="21" customWidth="1"/>
    <col min="6" max="6" width="26" style="22" customWidth="1"/>
    <col min="7" max="7" width="26.85546875" style="22" customWidth="1"/>
    <col min="8" max="8" width="20.7109375" style="23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(OCULTAR)'!$P$3:$R$53,3,0),"")</f>
        <v>9039744000941</v>
      </c>
      <c r="B2" s="3" t="s">
        <v>9</v>
      </c>
      <c r="C2" s="4">
        <v>5467959000155</v>
      </c>
      <c r="D2" s="5" t="s">
        <v>10</v>
      </c>
      <c r="E2" s="6">
        <v>1</v>
      </c>
      <c r="F2" s="7">
        <v>42816</v>
      </c>
      <c r="G2" s="7">
        <v>43187</v>
      </c>
      <c r="H2" s="8">
        <f>3191.82*12</f>
        <v>38301.840000000004</v>
      </c>
      <c r="I2" s="9" t="s">
        <v>11</v>
      </c>
    </row>
    <row r="3" spans="1:9" ht="21" customHeight="1" x14ac:dyDescent="0.2">
      <c r="A3" s="2">
        <f>IFERROR(VLOOKUP(B3,'[1]DADOS (OCULTAR)'!$P$3:$R$53,3,0),"")</f>
        <v>9039744000941</v>
      </c>
      <c r="B3" s="3" t="s">
        <v>9</v>
      </c>
      <c r="C3" s="4">
        <v>5467959000155</v>
      </c>
      <c r="D3" s="5" t="s">
        <v>10</v>
      </c>
      <c r="E3" s="6">
        <v>2</v>
      </c>
      <c r="F3" s="7">
        <v>43187</v>
      </c>
      <c r="G3" s="7">
        <v>43467</v>
      </c>
      <c r="H3" s="8">
        <f>3258.85*12</f>
        <v>39106.199999999997</v>
      </c>
      <c r="I3" s="9" t="s">
        <v>11</v>
      </c>
    </row>
    <row r="4" spans="1:9" ht="21" customHeight="1" x14ac:dyDescent="0.2">
      <c r="A4" s="2">
        <f>IFERROR(VLOOKUP(B4,'[1]DADOS (OCULTAR)'!$P$3:$R$53,3,0),"")</f>
        <v>9039744000941</v>
      </c>
      <c r="B4" s="3" t="s">
        <v>9</v>
      </c>
      <c r="C4" s="4">
        <v>5467959000155</v>
      </c>
      <c r="D4" s="5" t="s">
        <v>10</v>
      </c>
      <c r="E4" s="6">
        <v>3</v>
      </c>
      <c r="F4" s="7">
        <v>43467</v>
      </c>
      <c r="G4" s="7">
        <v>43868</v>
      </c>
      <c r="H4" s="8">
        <f>3409.08*12</f>
        <v>40908.959999999999</v>
      </c>
      <c r="I4" s="9" t="s">
        <v>11</v>
      </c>
    </row>
    <row r="5" spans="1:9" ht="21" customHeight="1" x14ac:dyDescent="0.2">
      <c r="A5" s="2">
        <f>IFERROR(VLOOKUP(B5,'[1]DADOS (OCULTAR)'!$P$3:$R$53,3,0),"")</f>
        <v>9039744000941</v>
      </c>
      <c r="B5" s="3" t="s">
        <v>9</v>
      </c>
      <c r="C5" s="4">
        <v>5467959000155</v>
      </c>
      <c r="D5" s="5" t="s">
        <v>10</v>
      </c>
      <c r="E5" s="6">
        <v>4</v>
      </c>
      <c r="F5" s="7">
        <v>43868</v>
      </c>
      <c r="G5" s="7">
        <v>44234</v>
      </c>
      <c r="H5" s="8">
        <f>3548.51*12</f>
        <v>42582.12</v>
      </c>
      <c r="I5" s="9" t="s">
        <v>11</v>
      </c>
    </row>
    <row r="6" spans="1:9" ht="21" customHeight="1" x14ac:dyDescent="0.2">
      <c r="A6" s="2">
        <f>IFERROR(VLOOKUP(B6,'[1]DADOS (OCULTAR)'!$P$3:$R$53,3,0),"")</f>
        <v>9039744000941</v>
      </c>
      <c r="B6" s="3" t="s">
        <v>9</v>
      </c>
      <c r="C6" s="4">
        <v>6066387000165</v>
      </c>
      <c r="D6" s="5" t="s">
        <v>12</v>
      </c>
      <c r="E6" s="6">
        <v>1</v>
      </c>
      <c r="F6" s="7">
        <v>40719</v>
      </c>
      <c r="G6" s="7">
        <v>43067</v>
      </c>
      <c r="H6" s="8">
        <f>10976.49*12</f>
        <v>131717.88</v>
      </c>
      <c r="I6" s="9" t="s">
        <v>11</v>
      </c>
    </row>
    <row r="7" spans="1:9" ht="21" customHeight="1" x14ac:dyDescent="0.2">
      <c r="A7" s="2">
        <f>IFERROR(VLOOKUP(B7,'[1]DADOS (OCULTAR)'!$P$3:$R$53,3,0),"")</f>
        <v>9039744000941</v>
      </c>
      <c r="B7" s="3" t="s">
        <v>9</v>
      </c>
      <c r="C7" s="4">
        <v>6066387000165</v>
      </c>
      <c r="D7" s="5" t="s">
        <v>12</v>
      </c>
      <c r="E7" s="6">
        <v>2</v>
      </c>
      <c r="F7" s="7">
        <v>43067</v>
      </c>
      <c r="G7" s="7">
        <v>43333</v>
      </c>
      <c r="H7" s="8">
        <f>9000*12</f>
        <v>108000</v>
      </c>
      <c r="I7" s="9" t="s">
        <v>11</v>
      </c>
    </row>
    <row r="8" spans="1:9" ht="21" customHeight="1" x14ac:dyDescent="0.2">
      <c r="A8" s="2">
        <f>IFERROR(VLOOKUP(B8,'[1]DADOS (OCULTAR)'!$P$3:$R$53,3,0),"")</f>
        <v>9039744000941</v>
      </c>
      <c r="B8" s="3" t="s">
        <v>9</v>
      </c>
      <c r="C8" s="4">
        <v>6066387000165</v>
      </c>
      <c r="D8" s="5" t="s">
        <v>12</v>
      </c>
      <c r="E8" s="6">
        <v>3</v>
      </c>
      <c r="F8" s="7">
        <v>43333</v>
      </c>
      <c r="G8" s="7">
        <v>43653</v>
      </c>
      <c r="H8" s="8">
        <f>10589.53*12</f>
        <v>127074.36000000002</v>
      </c>
      <c r="I8" s="9" t="s">
        <v>11</v>
      </c>
    </row>
    <row r="9" spans="1:9" ht="21" customHeight="1" x14ac:dyDescent="0.2">
      <c r="A9" s="2">
        <f>IFERROR(VLOOKUP(B9,'[1]DADOS (OCULTAR)'!$P$3:$R$53,3,0),"")</f>
        <v>9039744000941</v>
      </c>
      <c r="B9" s="3" t="s">
        <v>9</v>
      </c>
      <c r="C9" s="4">
        <v>6066387000165</v>
      </c>
      <c r="D9" s="5" t="s">
        <v>12</v>
      </c>
      <c r="E9" s="6">
        <v>4</v>
      </c>
      <c r="F9" s="7">
        <v>43653</v>
      </c>
      <c r="G9" s="7">
        <v>44019</v>
      </c>
      <c r="H9" s="8">
        <f>11400.55*12</f>
        <v>136806.59999999998</v>
      </c>
      <c r="I9" s="9" t="s">
        <v>11</v>
      </c>
    </row>
    <row r="10" spans="1:9" ht="21" customHeight="1" x14ac:dyDescent="0.2">
      <c r="A10" s="2">
        <f>IFERROR(VLOOKUP(B10,'[1]DADOS (OCULTAR)'!$P$3:$R$53,3,0),"")</f>
        <v>9039744000941</v>
      </c>
      <c r="B10" s="3" t="s">
        <v>9</v>
      </c>
      <c r="C10" s="4">
        <v>331788000119</v>
      </c>
      <c r="D10" s="5" t="s">
        <v>13</v>
      </c>
      <c r="E10" s="6">
        <v>1</v>
      </c>
      <c r="F10" s="7">
        <v>40544</v>
      </c>
      <c r="G10" s="7">
        <v>40935</v>
      </c>
      <c r="H10" s="8">
        <f>3000*12</f>
        <v>36000</v>
      </c>
      <c r="I10" s="9" t="s">
        <v>11</v>
      </c>
    </row>
    <row r="11" spans="1:9" ht="21" customHeight="1" x14ac:dyDescent="0.2">
      <c r="A11" s="2">
        <f>IFERROR(VLOOKUP(B11,'[1]DADOS (OCULTAR)'!$P$3:$R$53,3,0),"")</f>
        <v>9039744000941</v>
      </c>
      <c r="B11" s="3" t="s">
        <v>9</v>
      </c>
      <c r="C11" s="4">
        <v>331788000119</v>
      </c>
      <c r="D11" s="5" t="s">
        <v>13</v>
      </c>
      <c r="E11" s="6">
        <v>2</v>
      </c>
      <c r="F11" s="7">
        <v>40935</v>
      </c>
      <c r="G11" s="7">
        <v>40969</v>
      </c>
      <c r="H11" s="8">
        <f>3000*12</f>
        <v>36000</v>
      </c>
      <c r="I11" s="9" t="s">
        <v>11</v>
      </c>
    </row>
    <row r="12" spans="1:9" ht="21" customHeight="1" x14ac:dyDescent="0.2">
      <c r="A12" s="2">
        <f>IFERROR(VLOOKUP(B12,'[1]DADOS (OCULTAR)'!$P$3:$R$53,3,0),"")</f>
        <v>9039744000941</v>
      </c>
      <c r="B12" s="3" t="s">
        <v>9</v>
      </c>
      <c r="C12" s="4">
        <v>331788000119</v>
      </c>
      <c r="D12" s="5" t="s">
        <v>13</v>
      </c>
      <c r="E12" s="6">
        <v>3</v>
      </c>
      <c r="F12" s="7">
        <v>40969</v>
      </c>
      <c r="G12" s="7">
        <v>42170</v>
      </c>
      <c r="H12" s="8">
        <f>3150*12</f>
        <v>37800</v>
      </c>
      <c r="I12" s="9" t="s">
        <v>11</v>
      </c>
    </row>
    <row r="13" spans="1:9" ht="21" customHeight="1" x14ac:dyDescent="0.2">
      <c r="A13" s="2">
        <f>IFERROR(VLOOKUP(B13,'[1]DADOS (OCULTAR)'!$P$3:$R$53,3,0),"")</f>
        <v>9039744000941</v>
      </c>
      <c r="B13" s="3" t="s">
        <v>9</v>
      </c>
      <c r="C13" s="4">
        <v>331788000119</v>
      </c>
      <c r="D13" s="5" t="s">
        <v>13</v>
      </c>
      <c r="E13" s="6">
        <v>4</v>
      </c>
      <c r="F13" s="7">
        <v>42170</v>
      </c>
      <c r="G13" s="7">
        <v>43145</v>
      </c>
      <c r="H13" s="8">
        <f>2362*12</f>
        <v>28344</v>
      </c>
      <c r="I13" s="9" t="s">
        <v>11</v>
      </c>
    </row>
    <row r="14" spans="1:9" ht="21" customHeight="1" x14ac:dyDescent="0.2">
      <c r="A14" s="2">
        <f>IFERROR(VLOOKUP(B14,'[1]DADOS (OCULTAR)'!$P$3:$R$53,3,0),"")</f>
        <v>9039744000941</v>
      </c>
      <c r="B14" s="3" t="s">
        <v>9</v>
      </c>
      <c r="C14" s="4">
        <v>331788000119</v>
      </c>
      <c r="D14" s="5" t="s">
        <v>13</v>
      </c>
      <c r="E14" s="6">
        <v>5</v>
      </c>
      <c r="F14" s="7">
        <v>43145</v>
      </c>
      <c r="G14" s="7">
        <v>43480</v>
      </c>
      <c r="H14" s="8">
        <f>2511.51*12</f>
        <v>30138.120000000003</v>
      </c>
      <c r="I14" s="9" t="s">
        <v>11</v>
      </c>
    </row>
    <row r="15" spans="1:9" ht="21" customHeight="1" x14ac:dyDescent="0.2">
      <c r="A15" s="2">
        <f>IFERROR(VLOOKUP(B15,'[1]DADOS (OCULTAR)'!$P$3:$R$53,3,0),"")</f>
        <v>9039744000941</v>
      </c>
      <c r="B15" s="3" t="s">
        <v>9</v>
      </c>
      <c r="C15" s="4">
        <v>331788000119</v>
      </c>
      <c r="D15" s="5" t="s">
        <v>13</v>
      </c>
      <c r="E15" s="6">
        <v>6</v>
      </c>
      <c r="F15" s="7">
        <v>43480</v>
      </c>
      <c r="G15" s="7">
        <v>44166</v>
      </c>
      <c r="H15" s="8">
        <f>2606.36*12</f>
        <v>31276.32</v>
      </c>
      <c r="I15" s="9" t="s">
        <v>11</v>
      </c>
    </row>
    <row r="16" spans="1:9" ht="21" customHeight="1" x14ac:dyDescent="0.2">
      <c r="A16" s="2">
        <f>IFERROR(VLOOKUP(B16,'[1]DADOS (OCULTAR)'!$P$3:$R$53,3,0),"")</f>
        <v>9039744000941</v>
      </c>
      <c r="B16" s="3" t="s">
        <v>9</v>
      </c>
      <c r="C16" s="4">
        <v>4732857000157</v>
      </c>
      <c r="D16" s="5" t="s">
        <v>14</v>
      </c>
      <c r="E16" s="6">
        <v>1</v>
      </c>
      <c r="F16" s="7">
        <v>41183</v>
      </c>
      <c r="G16" s="7">
        <v>42156</v>
      </c>
      <c r="H16" s="8">
        <f>1500*12</f>
        <v>18000</v>
      </c>
      <c r="I16" s="9" t="s">
        <v>11</v>
      </c>
    </row>
    <row r="17" spans="1:9" ht="21" customHeight="1" x14ac:dyDescent="0.2">
      <c r="A17" s="2">
        <f>IFERROR(VLOOKUP(B17,'[1]DADOS (OCULTAR)'!$P$3:$R$53,3,0),"")</f>
        <v>9039744000941</v>
      </c>
      <c r="B17" s="3" t="s">
        <v>9</v>
      </c>
      <c r="C17" s="4">
        <v>4732857000157</v>
      </c>
      <c r="D17" s="5" t="s">
        <v>14</v>
      </c>
      <c r="E17" s="6">
        <v>2</v>
      </c>
      <c r="F17" s="7">
        <v>42156</v>
      </c>
      <c r="G17" s="7">
        <v>42673</v>
      </c>
      <c r="H17" s="8">
        <f>1438.26*12</f>
        <v>17259.12</v>
      </c>
      <c r="I17" s="9" t="s">
        <v>11</v>
      </c>
    </row>
    <row r="18" spans="1:9" ht="21" customHeight="1" x14ac:dyDescent="0.2">
      <c r="A18" s="2">
        <f>IFERROR(VLOOKUP(B18,'[1]DADOS (OCULTAR)'!$P$3:$R$53,3,0),"")</f>
        <v>9039744000941</v>
      </c>
      <c r="B18" s="3" t="s">
        <v>9</v>
      </c>
      <c r="C18" s="4">
        <v>4732857000157</v>
      </c>
      <c r="D18" s="5" t="s">
        <v>14</v>
      </c>
      <c r="E18" s="6">
        <v>3</v>
      </c>
      <c r="F18" s="7">
        <v>42673</v>
      </c>
      <c r="G18" s="7">
        <v>43433</v>
      </c>
      <c r="H18" s="8">
        <f>1564.8*12</f>
        <v>18777.599999999999</v>
      </c>
      <c r="I18" s="9" t="s">
        <v>11</v>
      </c>
    </row>
    <row r="19" spans="1:9" ht="21" customHeight="1" x14ac:dyDescent="0.2">
      <c r="A19" s="2">
        <f>IFERROR(VLOOKUP(B19,'[1]DADOS (OCULTAR)'!$P$3:$R$53,3,0),"")</f>
        <v>9039744000941</v>
      </c>
      <c r="B19" s="3" t="s">
        <v>9</v>
      </c>
      <c r="C19" s="4">
        <v>4732857000157</v>
      </c>
      <c r="D19" s="5" t="s">
        <v>14</v>
      </c>
      <c r="E19" s="6">
        <v>4</v>
      </c>
      <c r="F19" s="7">
        <v>43433</v>
      </c>
      <c r="G19" s="7">
        <v>44166</v>
      </c>
      <c r="H19" s="8">
        <f>1733.91*12</f>
        <v>20806.920000000002</v>
      </c>
      <c r="I19" s="9" t="s">
        <v>11</v>
      </c>
    </row>
    <row r="20" spans="1:9" ht="21" customHeight="1" x14ac:dyDescent="0.2">
      <c r="A20" s="2">
        <f>IFERROR(VLOOKUP(B20,'[1]DADOS (OCULTAR)'!$P$3:$R$53,3,0),"")</f>
        <v>9039744000941</v>
      </c>
      <c r="B20" s="3" t="s">
        <v>9</v>
      </c>
      <c r="C20" s="4">
        <v>2512303000119</v>
      </c>
      <c r="D20" s="5" t="s">
        <v>15</v>
      </c>
      <c r="E20" s="6">
        <v>1</v>
      </c>
      <c r="F20" s="7">
        <v>40361</v>
      </c>
      <c r="G20" s="7">
        <v>40817</v>
      </c>
      <c r="H20" s="8">
        <f>1500*12</f>
        <v>18000</v>
      </c>
      <c r="I20" s="9" t="s">
        <v>11</v>
      </c>
    </row>
    <row r="21" spans="1:9" ht="21" customHeight="1" x14ac:dyDescent="0.2">
      <c r="A21" s="2">
        <f>IFERROR(VLOOKUP(B21,'[1]DADOS (OCULTAR)'!$P$3:$R$53,3,0),"")</f>
        <v>9039744000941</v>
      </c>
      <c r="B21" s="3" t="s">
        <v>9</v>
      </c>
      <c r="C21" s="4">
        <v>2512303000119</v>
      </c>
      <c r="D21" s="5" t="s">
        <v>15</v>
      </c>
      <c r="E21" s="6">
        <v>2</v>
      </c>
      <c r="F21" s="7">
        <v>40817</v>
      </c>
      <c r="G21" s="7">
        <v>41456</v>
      </c>
      <c r="H21" s="8">
        <f>1629.65*12</f>
        <v>19555.800000000003</v>
      </c>
      <c r="I21" s="9" t="s">
        <v>11</v>
      </c>
    </row>
    <row r="22" spans="1:9" ht="21" customHeight="1" x14ac:dyDescent="0.2">
      <c r="A22" s="2">
        <f>IFERROR(VLOOKUP(B22,'[1]DADOS (OCULTAR)'!$P$3:$R$53,3,0),"")</f>
        <v>9039744000941</v>
      </c>
      <c r="B22" s="3" t="s">
        <v>9</v>
      </c>
      <c r="C22" s="4">
        <v>2512303000119</v>
      </c>
      <c r="D22" s="5" t="s">
        <v>15</v>
      </c>
      <c r="E22" s="6">
        <v>3</v>
      </c>
      <c r="F22" s="7">
        <v>41456</v>
      </c>
      <c r="G22" s="7">
        <v>41641</v>
      </c>
      <c r="H22" s="8">
        <f>1800*12</f>
        <v>21600</v>
      </c>
      <c r="I22" s="9" t="s">
        <v>11</v>
      </c>
    </row>
    <row r="23" spans="1:9" ht="21" customHeight="1" x14ac:dyDescent="0.2">
      <c r="A23" s="2">
        <f>IFERROR(VLOOKUP(B23,'[1]DADOS (OCULTAR)'!$P$3:$R$53,3,0),"")</f>
        <v>9039744000941</v>
      </c>
      <c r="B23" s="3" t="s">
        <v>9</v>
      </c>
      <c r="C23" s="4">
        <v>2512303000119</v>
      </c>
      <c r="D23" s="5" t="s">
        <v>15</v>
      </c>
      <c r="E23" s="6">
        <v>4</v>
      </c>
      <c r="F23" s="7">
        <v>41641</v>
      </c>
      <c r="G23" s="7">
        <v>42036</v>
      </c>
      <c r="H23" s="8">
        <f>2425*12</f>
        <v>29100</v>
      </c>
      <c r="I23" s="9" t="s">
        <v>11</v>
      </c>
    </row>
    <row r="24" spans="1:9" ht="21" customHeight="1" x14ac:dyDescent="0.2">
      <c r="A24" s="2">
        <f>IFERROR(VLOOKUP(B24,'[1]DADOS (OCULTAR)'!$P$3:$R$53,3,0),"")</f>
        <v>9039744000941</v>
      </c>
      <c r="B24" s="3" t="s">
        <v>9</v>
      </c>
      <c r="C24" s="4">
        <v>2512303000119</v>
      </c>
      <c r="D24" s="5" t="s">
        <v>15</v>
      </c>
      <c r="E24" s="6">
        <v>5</v>
      </c>
      <c r="F24" s="7">
        <v>42036</v>
      </c>
      <c r="G24" s="7">
        <v>42371</v>
      </c>
      <c r="H24" s="8">
        <f>2555*12</f>
        <v>30660</v>
      </c>
      <c r="I24" s="9" t="s">
        <v>11</v>
      </c>
    </row>
    <row r="25" spans="1:9" ht="21" customHeight="1" x14ac:dyDescent="0.2">
      <c r="A25" s="2">
        <f>IFERROR(VLOOKUP(B25,'[1]DADOS (OCULTAR)'!$P$3:$R$53,3,0),"")</f>
        <v>9039744000941</v>
      </c>
      <c r="B25" s="3" t="s">
        <v>9</v>
      </c>
      <c r="C25" s="4">
        <v>2512303000119</v>
      </c>
      <c r="D25" s="5" t="s">
        <v>15</v>
      </c>
      <c r="E25" s="6">
        <v>6</v>
      </c>
      <c r="F25" s="7">
        <v>42371</v>
      </c>
      <c r="G25" s="7">
        <v>43102</v>
      </c>
      <c r="H25" s="8">
        <f>3355*12</f>
        <v>40260</v>
      </c>
      <c r="I25" s="9" t="s">
        <v>11</v>
      </c>
    </row>
    <row r="26" spans="1:9" ht="21" customHeight="1" x14ac:dyDescent="0.2">
      <c r="A26" s="2">
        <f>IFERROR(VLOOKUP(B26,'[1]DADOS (OCULTAR)'!$P$3:$R$53,3,0),"")</f>
        <v>9039744000941</v>
      </c>
      <c r="B26" s="3" t="s">
        <v>9</v>
      </c>
      <c r="C26" s="4">
        <v>2512303000119</v>
      </c>
      <c r="D26" s="5" t="s">
        <v>15</v>
      </c>
      <c r="E26" s="6">
        <v>7</v>
      </c>
      <c r="F26" s="7">
        <v>43102</v>
      </c>
      <c r="G26" s="7">
        <v>43191</v>
      </c>
      <c r="H26" s="8">
        <f>3355*12</f>
        <v>40260</v>
      </c>
      <c r="I26" s="9" t="s">
        <v>11</v>
      </c>
    </row>
    <row r="27" spans="1:9" ht="21" customHeight="1" x14ac:dyDescent="0.2">
      <c r="A27" s="2">
        <f>IFERROR(VLOOKUP(B27,'[1]DADOS (OCULTAR)'!$P$3:$R$53,3,0),"")</f>
        <v>9039744000941</v>
      </c>
      <c r="B27" s="3" t="s">
        <v>9</v>
      </c>
      <c r="C27" s="4">
        <v>2512303000119</v>
      </c>
      <c r="D27" s="5" t="s">
        <v>15</v>
      </c>
      <c r="E27" s="6">
        <v>8</v>
      </c>
      <c r="F27" s="7">
        <v>43191</v>
      </c>
      <c r="G27" s="7">
        <v>44166</v>
      </c>
      <c r="H27" s="8">
        <f>3610*12</f>
        <v>43320</v>
      </c>
      <c r="I27" s="9" t="s">
        <v>11</v>
      </c>
    </row>
    <row r="28" spans="1:9" ht="21" customHeight="1" x14ac:dyDescent="0.2">
      <c r="A28" s="2">
        <f>IFERROR(VLOOKUP(B28,'[1]DADOS (OCULTAR)'!$P$3:$R$53,3,0),"")</f>
        <v>9039744000941</v>
      </c>
      <c r="B28" s="3" t="s">
        <v>9</v>
      </c>
      <c r="C28" s="4">
        <v>10229013000190</v>
      </c>
      <c r="D28" s="5" t="s">
        <v>16</v>
      </c>
      <c r="E28" s="6">
        <v>1</v>
      </c>
      <c r="F28" s="7">
        <v>41306</v>
      </c>
      <c r="G28" s="7">
        <v>41508</v>
      </c>
      <c r="H28" s="8">
        <f>28431.1*12</f>
        <v>341173.19999999995</v>
      </c>
      <c r="I28" s="9" t="s">
        <v>11</v>
      </c>
    </row>
    <row r="29" spans="1:9" ht="21" customHeight="1" x14ac:dyDescent="0.2">
      <c r="A29" s="2">
        <f>IFERROR(VLOOKUP(B29,'[1]DADOS (OCULTAR)'!$P$3:$R$53,3,0),"")</f>
        <v>9039744000941</v>
      </c>
      <c r="B29" s="3" t="s">
        <v>9</v>
      </c>
      <c r="C29" s="4">
        <v>10229013000190</v>
      </c>
      <c r="D29" s="5" t="s">
        <v>16</v>
      </c>
      <c r="E29" s="6">
        <v>2</v>
      </c>
      <c r="F29" s="7">
        <v>41508</v>
      </c>
      <c r="G29" s="7">
        <v>41671</v>
      </c>
      <c r="H29" s="8">
        <f>28890.41*12</f>
        <v>346684.92</v>
      </c>
      <c r="I29" s="9" t="s">
        <v>11</v>
      </c>
    </row>
    <row r="30" spans="1:9" ht="21" customHeight="1" x14ac:dyDescent="0.2">
      <c r="A30" s="2">
        <f>IFERROR(VLOOKUP(B30,'[1]DADOS (OCULTAR)'!$P$3:$R$53,3,0),"")</f>
        <v>9039744000941</v>
      </c>
      <c r="B30" s="3" t="s">
        <v>9</v>
      </c>
      <c r="C30" s="4">
        <v>10229013000190</v>
      </c>
      <c r="D30" s="5" t="s">
        <v>16</v>
      </c>
      <c r="E30" s="6">
        <v>3</v>
      </c>
      <c r="F30" s="7">
        <v>41671</v>
      </c>
      <c r="G30" s="7">
        <v>41821</v>
      </c>
      <c r="H30" s="8">
        <f>30457.43*12</f>
        <v>365489.16000000003</v>
      </c>
      <c r="I30" s="9" t="s">
        <v>11</v>
      </c>
    </row>
    <row r="31" spans="1:9" ht="21" customHeight="1" x14ac:dyDescent="0.2">
      <c r="A31" s="2">
        <f>IFERROR(VLOOKUP(B31,'[1]DADOS (OCULTAR)'!$P$3:$R$53,3,0),"")</f>
        <v>9039744000941</v>
      </c>
      <c r="B31" s="3" t="s">
        <v>9</v>
      </c>
      <c r="C31" s="4">
        <v>10229013000190</v>
      </c>
      <c r="D31" s="5" t="s">
        <v>16</v>
      </c>
      <c r="E31" s="6">
        <v>4</v>
      </c>
      <c r="F31" s="7">
        <v>41821</v>
      </c>
      <c r="G31" s="7">
        <v>42037</v>
      </c>
      <c r="H31" s="8">
        <f>33196.5*12</f>
        <v>398358</v>
      </c>
      <c r="I31" s="9" t="s">
        <v>11</v>
      </c>
    </row>
    <row r="32" spans="1:9" ht="21" customHeight="1" x14ac:dyDescent="0.2">
      <c r="A32" s="2">
        <f>IFERROR(VLOOKUP(B32,'[1]DADOS (OCULTAR)'!$P$3:$R$53,3,0),"")</f>
        <v>9039744000941</v>
      </c>
      <c r="B32" s="3" t="s">
        <v>9</v>
      </c>
      <c r="C32" s="4">
        <v>10229013000190</v>
      </c>
      <c r="D32" s="5" t="s">
        <v>16</v>
      </c>
      <c r="E32" s="6">
        <v>5</v>
      </c>
      <c r="F32" s="7">
        <v>42037</v>
      </c>
      <c r="G32" s="7">
        <v>42402</v>
      </c>
      <c r="H32" s="8">
        <f>35544.16*12</f>
        <v>426529.92000000004</v>
      </c>
      <c r="I32" s="9" t="s">
        <v>11</v>
      </c>
    </row>
    <row r="33" spans="1:9" ht="21" customHeight="1" x14ac:dyDescent="0.2">
      <c r="A33" s="2">
        <f>IFERROR(VLOOKUP(B33,'[1]DADOS (OCULTAR)'!$P$3:$R$53,3,0),"")</f>
        <v>9039744000941</v>
      </c>
      <c r="B33" s="3" t="s">
        <v>9</v>
      </c>
      <c r="C33" s="4">
        <v>10229013000190</v>
      </c>
      <c r="D33" s="5" t="s">
        <v>16</v>
      </c>
      <c r="E33" s="6">
        <v>6</v>
      </c>
      <c r="F33" s="7">
        <v>42402</v>
      </c>
      <c r="G33" s="7">
        <v>42780</v>
      </c>
      <c r="H33" s="8">
        <f>39623.65*12</f>
        <v>475483.80000000005</v>
      </c>
      <c r="I33" s="9" t="s">
        <v>11</v>
      </c>
    </row>
    <row r="34" spans="1:9" ht="21" customHeight="1" x14ac:dyDescent="0.2">
      <c r="A34" s="2">
        <f>IFERROR(VLOOKUP(B34,'[1]DADOS (OCULTAR)'!$P$3:$R$53,3,0),"")</f>
        <v>9039744000941</v>
      </c>
      <c r="B34" s="3" t="s">
        <v>9</v>
      </c>
      <c r="C34" s="4">
        <v>10229013000190</v>
      </c>
      <c r="D34" s="5" t="s">
        <v>16</v>
      </c>
      <c r="E34" s="6">
        <v>7</v>
      </c>
      <c r="F34" s="7">
        <v>42780</v>
      </c>
      <c r="G34" s="7">
        <v>43229</v>
      </c>
      <c r="H34" s="8">
        <f>42102.03*12</f>
        <v>505224.36</v>
      </c>
      <c r="I34" s="9" t="s">
        <v>11</v>
      </c>
    </row>
    <row r="35" spans="1:9" ht="21" customHeight="1" x14ac:dyDescent="0.2">
      <c r="A35" s="2">
        <f>IFERROR(VLOOKUP(B35,'[1]DADOS (OCULTAR)'!$P$3:$R$53,3,0),"")</f>
        <v>9039744000941</v>
      </c>
      <c r="B35" s="3" t="s">
        <v>9</v>
      </c>
      <c r="C35" s="4">
        <v>10229013000190</v>
      </c>
      <c r="D35" s="5" t="s">
        <v>16</v>
      </c>
      <c r="E35" s="6">
        <v>8</v>
      </c>
      <c r="F35" s="7">
        <v>43229</v>
      </c>
      <c r="G35" s="7">
        <v>44166</v>
      </c>
      <c r="H35" s="8">
        <f>42952.07*12</f>
        <v>515424.83999999997</v>
      </c>
      <c r="I35" s="9" t="s">
        <v>11</v>
      </c>
    </row>
    <row r="36" spans="1:9" ht="21" customHeight="1" x14ac:dyDescent="0.2">
      <c r="A36" s="2">
        <f>IFERROR(VLOOKUP(B36,'[1]DADOS (OCULTAR)'!$P$3:$R$53,3,0),"")</f>
        <v>9039744000941</v>
      </c>
      <c r="B36" s="3" t="s">
        <v>9</v>
      </c>
      <c r="C36" s="4">
        <v>6272575004803</v>
      </c>
      <c r="D36" s="5" t="s">
        <v>17</v>
      </c>
      <c r="E36" s="6">
        <v>1</v>
      </c>
      <c r="F36" s="7">
        <v>42156</v>
      </c>
      <c r="G36" s="7">
        <v>42156</v>
      </c>
      <c r="H36" s="10">
        <f>4371.69*12</f>
        <v>52460.28</v>
      </c>
      <c r="I36" s="9" t="s">
        <v>11</v>
      </c>
    </row>
    <row r="37" spans="1:9" ht="21" customHeight="1" x14ac:dyDescent="0.2">
      <c r="A37" s="2">
        <f>IFERROR(VLOOKUP(B37,'[1]DADOS (OCULTAR)'!$P$3:$R$53,3,0),"")</f>
        <v>9039744000941</v>
      </c>
      <c r="B37" s="3" t="s">
        <v>9</v>
      </c>
      <c r="C37" s="4">
        <v>6272575004803</v>
      </c>
      <c r="D37" s="5" t="s">
        <v>17</v>
      </c>
      <c r="E37" s="6">
        <v>2</v>
      </c>
      <c r="F37" s="7">
        <v>42156</v>
      </c>
      <c r="G37" s="7">
        <v>43118</v>
      </c>
      <c r="H37" s="10">
        <f>5469.03*12</f>
        <v>65628.36</v>
      </c>
      <c r="I37" s="9" t="s">
        <v>11</v>
      </c>
    </row>
    <row r="38" spans="1:9" ht="21" customHeight="1" x14ac:dyDescent="0.2">
      <c r="A38" s="2">
        <f>IFERROR(VLOOKUP(B38,'[1]DADOS (OCULTAR)'!$P$3:$R$53,3,0),"")</f>
        <v>9039744000941</v>
      </c>
      <c r="B38" s="3" t="s">
        <v>9</v>
      </c>
      <c r="C38" s="4">
        <v>6272575004803</v>
      </c>
      <c r="D38" s="5" t="s">
        <v>17</v>
      </c>
      <c r="E38" s="6">
        <v>3</v>
      </c>
      <c r="F38" s="7">
        <v>43118</v>
      </c>
      <c r="G38" s="7">
        <v>43010</v>
      </c>
      <c r="H38" s="10">
        <f>5957.18*12</f>
        <v>71486.16</v>
      </c>
      <c r="I38" s="9" t="s">
        <v>11</v>
      </c>
    </row>
    <row r="39" spans="1:9" ht="21" customHeight="1" x14ac:dyDescent="0.2">
      <c r="A39" s="2">
        <f>IFERROR(VLOOKUP(B39,'[1]DADOS (OCULTAR)'!$P$3:$R$53,3,0),"")</f>
        <v>9039744000941</v>
      </c>
      <c r="B39" s="3" t="s">
        <v>9</v>
      </c>
      <c r="C39" s="4">
        <v>6272575004803</v>
      </c>
      <c r="D39" s="5" t="s">
        <v>17</v>
      </c>
      <c r="E39" s="6">
        <v>4</v>
      </c>
      <c r="F39" s="7">
        <v>43010</v>
      </c>
      <c r="G39" s="7">
        <v>44166</v>
      </c>
      <c r="H39" s="10">
        <f>6567.62*12</f>
        <v>78811.44</v>
      </c>
      <c r="I39" s="9" t="s">
        <v>11</v>
      </c>
    </row>
    <row r="40" spans="1:9" ht="21" customHeight="1" x14ac:dyDescent="0.2">
      <c r="A40" s="2">
        <f>IFERROR(VLOOKUP(B40,'[1]DADOS (OCULTAR)'!$P$3:$R$53,3,0),"")</f>
        <v>9039744000941</v>
      </c>
      <c r="B40" s="3" t="s">
        <v>9</v>
      </c>
      <c r="C40" s="4">
        <v>9014387000100</v>
      </c>
      <c r="D40" s="5" t="s">
        <v>18</v>
      </c>
      <c r="E40" s="6">
        <v>1</v>
      </c>
      <c r="F40" s="7">
        <v>42064</v>
      </c>
      <c r="G40" s="7">
        <v>43838</v>
      </c>
      <c r="H40" s="8">
        <f>3980.13*12</f>
        <v>47761.56</v>
      </c>
      <c r="I40" s="9" t="s">
        <v>11</v>
      </c>
    </row>
    <row r="41" spans="1:9" ht="21" customHeight="1" x14ac:dyDescent="0.2">
      <c r="A41" s="2">
        <f>IFERROR(VLOOKUP(B41,'[1]DADOS (OCULTAR)'!$P$3:$R$53,3,0),"")</f>
        <v>9039744000941</v>
      </c>
      <c r="B41" s="3" t="s">
        <v>9</v>
      </c>
      <c r="C41" s="4">
        <v>9014387000100</v>
      </c>
      <c r="D41" s="5" t="s">
        <v>18</v>
      </c>
      <c r="E41" s="6">
        <v>2</v>
      </c>
      <c r="F41" s="7">
        <v>43838</v>
      </c>
      <c r="G41" s="7">
        <v>44204</v>
      </c>
      <c r="H41" s="8">
        <f>4240.13*12</f>
        <v>50881.56</v>
      </c>
      <c r="I41" s="9" t="s">
        <v>11</v>
      </c>
    </row>
    <row r="42" spans="1:9" ht="21" customHeight="1" x14ac:dyDescent="0.2">
      <c r="A42" s="2">
        <f>IFERROR(VLOOKUP(B42,'[1]DADOS (OCULTAR)'!$P$3:$R$53,3,0),"")</f>
        <v>9039744000941</v>
      </c>
      <c r="B42" s="3" t="s">
        <v>9</v>
      </c>
      <c r="C42" s="4">
        <v>58426628000133</v>
      </c>
      <c r="D42" s="5" t="s">
        <v>19</v>
      </c>
      <c r="E42" s="6">
        <v>1</v>
      </c>
      <c r="F42" s="7">
        <v>43308</v>
      </c>
      <c r="G42" s="7">
        <v>44166</v>
      </c>
      <c r="H42" s="10">
        <v>13440</v>
      </c>
      <c r="I42" s="9" t="s">
        <v>11</v>
      </c>
    </row>
    <row r="43" spans="1:9" ht="21" customHeight="1" x14ac:dyDescent="0.2">
      <c r="A43" s="2">
        <f>IFERROR(VLOOKUP(B43,'[1]DADOS (OCULTAR)'!$P$3:$R$53,3,0),"")</f>
        <v>9039744000941</v>
      </c>
      <c r="B43" s="3" t="s">
        <v>9</v>
      </c>
      <c r="C43" s="4">
        <v>24380578002041</v>
      </c>
      <c r="D43" s="5" t="s">
        <v>20</v>
      </c>
      <c r="E43" s="6">
        <v>1</v>
      </c>
      <c r="F43" s="11">
        <v>40827</v>
      </c>
      <c r="G43" s="11">
        <v>41775</v>
      </c>
      <c r="H43" s="8">
        <f>34746.57-(38607.3*5%)</f>
        <v>32816.205000000002</v>
      </c>
      <c r="I43" s="9" t="s">
        <v>11</v>
      </c>
    </row>
    <row r="44" spans="1:9" ht="21" customHeight="1" x14ac:dyDescent="0.2">
      <c r="A44" s="2">
        <f>IFERROR(VLOOKUP(B44,'[1]DADOS (OCULTAR)'!$P$3:$R$53,3,0),"")</f>
        <v>9039744000941</v>
      </c>
      <c r="B44" s="3" t="s">
        <v>9</v>
      </c>
      <c r="C44" s="4">
        <v>24380578002041</v>
      </c>
      <c r="D44" s="5" t="s">
        <v>20</v>
      </c>
      <c r="E44" s="6">
        <v>2</v>
      </c>
      <c r="F44" s="11">
        <v>41775</v>
      </c>
      <c r="G44" s="11">
        <v>43221</v>
      </c>
      <c r="H44" s="8">
        <f>38607.3-(38607.3*10%)</f>
        <v>34746.57</v>
      </c>
      <c r="I44" s="9" t="s">
        <v>11</v>
      </c>
    </row>
    <row r="45" spans="1:9" ht="21" customHeight="1" x14ac:dyDescent="0.2">
      <c r="A45" s="2">
        <f>IFERROR(VLOOKUP(B45,'[1]DADOS (OCULTAR)'!$P$3:$R$53,3,0),"")</f>
        <v>9039744000941</v>
      </c>
      <c r="B45" s="3" t="s">
        <v>9</v>
      </c>
      <c r="C45" s="4">
        <v>24380578002041</v>
      </c>
      <c r="D45" s="5" t="s">
        <v>20</v>
      </c>
      <c r="E45" s="6">
        <v>3</v>
      </c>
      <c r="F45" s="11">
        <v>43221</v>
      </c>
      <c r="G45" s="11">
        <v>43586</v>
      </c>
      <c r="H45" s="8">
        <f>42897-(42897*10%)</f>
        <v>38607.300000000003</v>
      </c>
      <c r="I45" s="9" t="s">
        <v>11</v>
      </c>
    </row>
    <row r="46" spans="1:9" ht="21" customHeight="1" x14ac:dyDescent="0.2">
      <c r="A46" s="2">
        <f>IFERROR(VLOOKUP(B46,'[1]DADOS (OCULTAR)'!$P$3:$R$53,3,0),"")</f>
        <v>9039744000941</v>
      </c>
      <c r="B46" s="3" t="s">
        <v>9</v>
      </c>
      <c r="C46" s="4">
        <v>24380578002041</v>
      </c>
      <c r="D46" s="5" t="s">
        <v>20</v>
      </c>
      <c r="E46" s="6">
        <v>4</v>
      </c>
      <c r="F46" s="11">
        <v>43586</v>
      </c>
      <c r="G46" s="11">
        <v>44166</v>
      </c>
      <c r="H46" s="8">
        <v>42897</v>
      </c>
      <c r="I46" s="9" t="s">
        <v>11</v>
      </c>
    </row>
    <row r="47" spans="1:9" ht="21" customHeight="1" x14ac:dyDescent="0.2">
      <c r="A47" s="2">
        <f>IFERROR(VLOOKUP(B47,'[1]DADOS (OCULTAR)'!$P$3:$R$53,3,0),"")</f>
        <v>9039744000941</v>
      </c>
      <c r="B47" s="3" t="s">
        <v>9</v>
      </c>
      <c r="C47" s="4">
        <v>7146768000117</v>
      </c>
      <c r="D47" s="5" t="s">
        <v>21</v>
      </c>
      <c r="E47" s="6">
        <v>1</v>
      </c>
      <c r="F47" s="11">
        <v>42774</v>
      </c>
      <c r="G47" s="11">
        <v>43164</v>
      </c>
      <c r="H47" s="8">
        <f>2300*12</f>
        <v>27600</v>
      </c>
      <c r="I47" s="9" t="s">
        <v>11</v>
      </c>
    </row>
    <row r="48" spans="1:9" ht="21" customHeight="1" x14ac:dyDescent="0.2">
      <c r="A48" s="2">
        <f>IFERROR(VLOOKUP(B48,'[1]DADOS (OCULTAR)'!$P$3:$R$53,3,0),"")</f>
        <v>9039744000941</v>
      </c>
      <c r="B48" s="3" t="s">
        <v>9</v>
      </c>
      <c r="C48" s="4">
        <v>7146768000117</v>
      </c>
      <c r="D48" s="5" t="s">
        <v>21</v>
      </c>
      <c r="E48" s="6">
        <v>2</v>
      </c>
      <c r="F48" s="11">
        <v>43164</v>
      </c>
      <c r="G48" s="11">
        <v>43195</v>
      </c>
      <c r="H48" s="8">
        <f>2300*12</f>
        <v>27600</v>
      </c>
      <c r="I48" s="9" t="s">
        <v>11</v>
      </c>
    </row>
    <row r="49" spans="1:9" ht="21" customHeight="1" x14ac:dyDescent="0.2">
      <c r="A49" s="2">
        <f>IFERROR(VLOOKUP(B49,'[1]DADOS (OCULTAR)'!$P$3:$R$53,3,0),"")</f>
        <v>9039744000941</v>
      </c>
      <c r="B49" s="3" t="s">
        <v>9</v>
      </c>
      <c r="C49" s="4">
        <v>7146768000117</v>
      </c>
      <c r="D49" s="5" t="s">
        <v>21</v>
      </c>
      <c r="E49" s="6">
        <v>3</v>
      </c>
      <c r="F49" s="11">
        <v>43195</v>
      </c>
      <c r="G49" s="11">
        <v>43525</v>
      </c>
      <c r="H49" s="8">
        <f>2000*12</f>
        <v>24000</v>
      </c>
      <c r="I49" s="9" t="s">
        <v>11</v>
      </c>
    </row>
    <row r="50" spans="1:9" ht="21" customHeight="1" x14ac:dyDescent="0.2">
      <c r="A50" s="2">
        <f>IFERROR(VLOOKUP(B50,'[1]DADOS (OCULTAR)'!$P$3:$R$53,3,0),"")</f>
        <v>9039744000941</v>
      </c>
      <c r="B50" s="3" t="s">
        <v>9</v>
      </c>
      <c r="C50" s="4">
        <v>7146768000117</v>
      </c>
      <c r="D50" s="5" t="s">
        <v>21</v>
      </c>
      <c r="E50" s="6">
        <v>4</v>
      </c>
      <c r="F50" s="11">
        <v>43525</v>
      </c>
      <c r="G50" s="11">
        <v>43800</v>
      </c>
      <c r="H50" s="8">
        <f>2059*12</f>
        <v>24708</v>
      </c>
      <c r="I50" s="9" t="s">
        <v>11</v>
      </c>
    </row>
    <row r="51" spans="1:9" ht="21" customHeight="1" x14ac:dyDescent="0.2">
      <c r="A51" s="2">
        <f>IFERROR(VLOOKUP(B51,'[1]DADOS (OCULTAR)'!$P$3:$R$53,3,0),"")</f>
        <v>9039744000941</v>
      </c>
      <c r="B51" s="3" t="s">
        <v>9</v>
      </c>
      <c r="C51" s="4">
        <v>10279299000119</v>
      </c>
      <c r="D51" s="5" t="s">
        <v>22</v>
      </c>
      <c r="E51" s="6">
        <v>1</v>
      </c>
      <c r="F51" s="11">
        <v>40817</v>
      </c>
      <c r="G51" s="11">
        <v>40925</v>
      </c>
      <c r="H51" s="10">
        <f>(0.03*50000)*12</f>
        <v>18000</v>
      </c>
      <c r="I51" s="9" t="s">
        <v>11</v>
      </c>
    </row>
    <row r="52" spans="1:9" ht="21" customHeight="1" x14ac:dyDescent="0.2">
      <c r="A52" s="2">
        <f>IFERROR(VLOOKUP(B52,'[1]DADOS (OCULTAR)'!$P$3:$R$53,3,0),"")</f>
        <v>9039744000941</v>
      </c>
      <c r="B52" s="3" t="s">
        <v>9</v>
      </c>
      <c r="C52" s="4">
        <v>10279299000119</v>
      </c>
      <c r="D52" s="5" t="s">
        <v>22</v>
      </c>
      <c r="E52" s="6">
        <v>2</v>
      </c>
      <c r="F52" s="11">
        <v>40925</v>
      </c>
      <c r="G52" s="11">
        <v>43257</v>
      </c>
      <c r="H52" s="10">
        <f>(0.035*50000)*12</f>
        <v>21000.000000000004</v>
      </c>
      <c r="I52" s="9" t="s">
        <v>11</v>
      </c>
    </row>
    <row r="53" spans="1:9" ht="21" customHeight="1" x14ac:dyDescent="0.2">
      <c r="A53" s="2">
        <f>IFERROR(VLOOKUP(B53,'[1]DADOS (OCULTAR)'!$P$3:$R$53,3,0),"")</f>
        <v>9039744000941</v>
      </c>
      <c r="B53" s="3" t="s">
        <v>9</v>
      </c>
      <c r="C53" s="4">
        <v>10279299000119</v>
      </c>
      <c r="D53" s="5" t="s">
        <v>22</v>
      </c>
      <c r="E53" s="6">
        <v>3</v>
      </c>
      <c r="F53" s="11">
        <v>43257</v>
      </c>
      <c r="G53" s="11">
        <v>43920</v>
      </c>
      <c r="H53" s="10">
        <f>(0.04*50000)*12</f>
        <v>24000</v>
      </c>
      <c r="I53" s="9" t="s">
        <v>11</v>
      </c>
    </row>
    <row r="54" spans="1:9" ht="21" customHeight="1" x14ac:dyDescent="0.2">
      <c r="A54" s="2">
        <f>IFERROR(VLOOKUP(B54,'[1]DADOS (OCULTAR)'!$P$3:$R$53,3,0),"")</f>
        <v>9039744000941</v>
      </c>
      <c r="B54" s="3" t="s">
        <v>9</v>
      </c>
      <c r="C54" s="4">
        <v>10279299000119</v>
      </c>
      <c r="D54" s="5" t="s">
        <v>22</v>
      </c>
      <c r="E54" s="6">
        <v>4</v>
      </c>
      <c r="F54" s="12">
        <v>43920</v>
      </c>
      <c r="G54" s="12">
        <v>44285</v>
      </c>
      <c r="H54" s="10">
        <f>(0.045*50000)*12</f>
        <v>27000</v>
      </c>
      <c r="I54" s="9" t="s">
        <v>11</v>
      </c>
    </row>
    <row r="55" spans="1:9" ht="21" customHeight="1" x14ac:dyDescent="0.2">
      <c r="A55" s="2">
        <f>IFERROR(VLOOKUP(B55,'[1]DADOS (OCULTAR)'!$P$3:$R$53,3,0),"")</f>
        <v>9039744000941</v>
      </c>
      <c r="B55" s="3" t="s">
        <v>9</v>
      </c>
      <c r="C55" s="13">
        <v>11863530000180</v>
      </c>
      <c r="D55" s="14" t="s">
        <v>23</v>
      </c>
      <c r="E55" s="15">
        <v>1</v>
      </c>
      <c r="F55" s="16">
        <v>43129</v>
      </c>
      <c r="G55" s="16">
        <v>44196</v>
      </c>
      <c r="H55" s="17">
        <f>1935*12</f>
        <v>23220</v>
      </c>
      <c r="I55" s="18" t="s">
        <v>11</v>
      </c>
    </row>
    <row r="56" spans="1:9" ht="21" customHeight="1" x14ac:dyDescent="0.2">
      <c r="A56" s="2">
        <f>IFERROR(VLOOKUP(B56,'[1]DADOS (OCULTAR)'!$P$3:$R$53,3,0),"")</f>
        <v>9039744000941</v>
      </c>
      <c r="B56" s="3" t="s">
        <v>9</v>
      </c>
      <c r="C56" s="4">
        <v>8845988000100</v>
      </c>
      <c r="D56" s="5" t="s">
        <v>24</v>
      </c>
      <c r="E56" s="6">
        <v>1</v>
      </c>
      <c r="F56" s="11">
        <v>42491</v>
      </c>
      <c r="G56" s="11">
        <v>42856</v>
      </c>
      <c r="H56" s="10">
        <f>295*12</f>
        <v>3540</v>
      </c>
      <c r="I56" s="9" t="s">
        <v>11</v>
      </c>
    </row>
    <row r="57" spans="1:9" ht="21" customHeight="1" x14ac:dyDescent="0.2">
      <c r="A57" s="2">
        <f>IFERROR(VLOOKUP(B57,'[1]DADOS (OCULTAR)'!$P$3:$R$53,3,0),"")</f>
        <v>9039744000941</v>
      </c>
      <c r="B57" s="3" t="s">
        <v>9</v>
      </c>
      <c r="C57" s="4">
        <v>8845988000100</v>
      </c>
      <c r="D57" s="5" t="s">
        <v>24</v>
      </c>
      <c r="E57" s="6">
        <v>2</v>
      </c>
      <c r="F57" s="11">
        <v>42856</v>
      </c>
      <c r="G57" s="11">
        <v>43647</v>
      </c>
      <c r="H57" s="10">
        <f>322.38*12</f>
        <v>3868.56</v>
      </c>
      <c r="I57" s="9" t="s">
        <v>11</v>
      </c>
    </row>
    <row r="58" spans="1:9" ht="21" customHeight="1" x14ac:dyDescent="0.2">
      <c r="A58" s="2">
        <f>IFERROR(VLOOKUP(B58,'[1]DADOS (OCULTAR)'!$P$3:$R$53,3,0),"")</f>
        <v>9039744000941</v>
      </c>
      <c r="B58" s="3" t="s">
        <v>9</v>
      </c>
      <c r="C58" s="4">
        <v>8845988000100</v>
      </c>
      <c r="D58" s="5" t="s">
        <v>24</v>
      </c>
      <c r="E58" s="6">
        <v>3</v>
      </c>
      <c r="F58" s="11">
        <v>43647</v>
      </c>
      <c r="G58" s="11">
        <v>43800</v>
      </c>
      <c r="H58" s="10">
        <f>356.36*12</f>
        <v>4276.32</v>
      </c>
      <c r="I58" s="9" t="s">
        <v>11</v>
      </c>
    </row>
    <row r="59" spans="1:9" ht="21" customHeight="1" x14ac:dyDescent="0.2">
      <c r="A59" s="2">
        <f>IFERROR(VLOOKUP(B59,'[1]DADOS (OCULTAR)'!$P$3:$R$53,3,0),"")</f>
        <v>9039744000941</v>
      </c>
      <c r="B59" s="3" t="s">
        <v>9</v>
      </c>
      <c r="C59" s="4">
        <v>9315554000152</v>
      </c>
      <c r="D59" s="5" t="s">
        <v>25</v>
      </c>
      <c r="E59" s="6">
        <v>1</v>
      </c>
      <c r="F59" s="11">
        <v>42361</v>
      </c>
      <c r="G59" s="11">
        <v>42774</v>
      </c>
      <c r="H59" s="8">
        <f>600*12</f>
        <v>7200</v>
      </c>
      <c r="I59" s="9" t="s">
        <v>11</v>
      </c>
    </row>
    <row r="60" spans="1:9" ht="21" customHeight="1" x14ac:dyDescent="0.2">
      <c r="A60" s="2">
        <f>IFERROR(VLOOKUP(B60,'[1]DADOS (OCULTAR)'!$P$3:$R$53,3,0),"")</f>
        <v>9039744000941</v>
      </c>
      <c r="B60" s="3" t="s">
        <v>9</v>
      </c>
      <c r="C60" s="4">
        <v>9315554000152</v>
      </c>
      <c r="D60" s="5" t="s">
        <v>25</v>
      </c>
      <c r="E60" s="6">
        <v>2</v>
      </c>
      <c r="F60" s="11">
        <v>42774</v>
      </c>
      <c r="G60" s="11">
        <v>43467</v>
      </c>
      <c r="H60" s="8">
        <f>637.14*12</f>
        <v>7645.68</v>
      </c>
      <c r="I60" s="9" t="s">
        <v>11</v>
      </c>
    </row>
    <row r="61" spans="1:9" ht="21" customHeight="1" x14ac:dyDescent="0.2">
      <c r="A61" s="2">
        <f>IFERROR(VLOOKUP(B61,'[1]DADOS (OCULTAR)'!$P$3:$R$53,3,0),"")</f>
        <v>9039744000941</v>
      </c>
      <c r="B61" s="3" t="s">
        <v>9</v>
      </c>
      <c r="C61" s="4">
        <v>9315554000152</v>
      </c>
      <c r="D61" s="5" t="s">
        <v>25</v>
      </c>
      <c r="E61" s="6">
        <v>3</v>
      </c>
      <c r="F61" s="11">
        <v>43467</v>
      </c>
      <c r="G61" s="11">
        <v>44166</v>
      </c>
      <c r="H61" s="8">
        <f>661*12</f>
        <v>7932</v>
      </c>
      <c r="I61" s="9" t="s">
        <v>11</v>
      </c>
    </row>
    <row r="62" spans="1:9" ht="21" customHeight="1" x14ac:dyDescent="0.2">
      <c r="A62" s="2">
        <f>IFERROR(VLOOKUP(B62,'[1]DADOS (OCULTAR)'!$P$3:$R$53,3,0),"")</f>
        <v>9039744000941</v>
      </c>
      <c r="B62" s="3" t="s">
        <v>9</v>
      </c>
      <c r="C62" s="4">
        <v>1141468000169</v>
      </c>
      <c r="D62" s="5" t="s">
        <v>26</v>
      </c>
      <c r="E62" s="6">
        <v>1</v>
      </c>
      <c r="F62" s="11">
        <v>43196</v>
      </c>
      <c r="G62" s="11">
        <v>43647</v>
      </c>
      <c r="H62" s="8">
        <f>340.74*12</f>
        <v>4088.88</v>
      </c>
      <c r="I62" s="9" t="s">
        <v>11</v>
      </c>
    </row>
    <row r="63" spans="1:9" ht="21" customHeight="1" x14ac:dyDescent="0.2">
      <c r="A63" s="2">
        <f>IFERROR(VLOOKUP(B63,'[1]DADOS (OCULTAR)'!$P$3:$R$53,3,0),"")</f>
        <v>9039744000941</v>
      </c>
      <c r="B63" s="3" t="s">
        <v>9</v>
      </c>
      <c r="C63" s="4">
        <v>1141468000169</v>
      </c>
      <c r="D63" s="5" t="s">
        <v>26</v>
      </c>
      <c r="E63" s="6">
        <v>2</v>
      </c>
      <c r="F63" s="11">
        <v>43647</v>
      </c>
      <c r="G63" s="11">
        <v>44166</v>
      </c>
      <c r="H63" s="8">
        <f>356.33*12</f>
        <v>4275.96</v>
      </c>
      <c r="I63" s="9" t="s">
        <v>11</v>
      </c>
    </row>
    <row r="64" spans="1:9" ht="21" customHeight="1" x14ac:dyDescent="0.2">
      <c r="A64" s="2">
        <f>IFERROR(VLOOKUP(B64,'[1]DADOS (OCULTAR)'!$P$3:$R$53,3,0),"")</f>
        <v>9039744000941</v>
      </c>
      <c r="B64" s="3" t="s">
        <v>9</v>
      </c>
      <c r="C64" s="4">
        <v>10859287000163</v>
      </c>
      <c r="D64" s="5" t="s">
        <v>27</v>
      </c>
      <c r="E64" s="6">
        <v>1</v>
      </c>
      <c r="F64" s="11">
        <v>42134</v>
      </c>
      <c r="G64" s="11">
        <v>43206</v>
      </c>
      <c r="H64" s="8">
        <f>1000*12</f>
        <v>12000</v>
      </c>
      <c r="I64" s="9" t="s">
        <v>11</v>
      </c>
    </row>
    <row r="65" spans="1:9" ht="21" customHeight="1" x14ac:dyDescent="0.2">
      <c r="A65" s="2">
        <f>IFERROR(VLOOKUP(B65,'[1]DADOS (OCULTAR)'!$P$3:$R$53,3,0),"")</f>
        <v>9039744000941</v>
      </c>
      <c r="B65" s="3" t="s">
        <v>9</v>
      </c>
      <c r="C65" s="4">
        <v>10859287000163</v>
      </c>
      <c r="D65" s="5" t="s">
        <v>27</v>
      </c>
      <c r="E65" s="6">
        <v>2</v>
      </c>
      <c r="F65" s="11">
        <v>43206</v>
      </c>
      <c r="G65" s="11">
        <v>44166</v>
      </c>
      <c r="H65" s="8">
        <f>880*12</f>
        <v>10560</v>
      </c>
      <c r="I65" s="9" t="s">
        <v>11</v>
      </c>
    </row>
    <row r="66" spans="1:9" ht="21" customHeight="1" x14ac:dyDescent="0.2">
      <c r="A66" s="2">
        <f>IFERROR(VLOOKUP(B66,'[1]DADOS (OCULTAR)'!$P$3:$R$53,3,0),"")</f>
        <v>9039744000941</v>
      </c>
      <c r="B66" s="3" t="s">
        <v>9</v>
      </c>
      <c r="C66" s="4">
        <v>10816775000274</v>
      </c>
      <c r="D66" s="5" t="s">
        <v>28</v>
      </c>
      <c r="E66" s="6">
        <v>1</v>
      </c>
      <c r="F66" s="11">
        <v>42006</v>
      </c>
      <c r="G66" s="11">
        <v>42126</v>
      </c>
      <c r="H66" s="8">
        <f>360*12</f>
        <v>4320</v>
      </c>
      <c r="I66" s="9" t="s">
        <v>11</v>
      </c>
    </row>
    <row r="67" spans="1:9" ht="21" customHeight="1" x14ac:dyDescent="0.2">
      <c r="A67" s="2">
        <f>IFERROR(VLOOKUP(B67,'[1]DADOS (OCULTAR)'!$P$3:$R$53,3,0),"")</f>
        <v>9039744000941</v>
      </c>
      <c r="B67" s="3" t="s">
        <v>9</v>
      </c>
      <c r="C67" s="4">
        <v>10816775000274</v>
      </c>
      <c r="D67" s="5" t="s">
        <v>28</v>
      </c>
      <c r="E67" s="6">
        <v>2</v>
      </c>
      <c r="F67" s="11">
        <v>42126</v>
      </c>
      <c r="G67" s="11">
        <v>42248</v>
      </c>
      <c r="H67" s="8">
        <f>360*12</f>
        <v>4320</v>
      </c>
      <c r="I67" s="9" t="s">
        <v>11</v>
      </c>
    </row>
    <row r="68" spans="1:9" ht="21" customHeight="1" x14ac:dyDescent="0.2">
      <c r="A68" s="2">
        <f>IFERROR(VLOOKUP(B68,'[1]DADOS (OCULTAR)'!$P$3:$R$53,3,0),"")</f>
        <v>9039744000941</v>
      </c>
      <c r="B68" s="3" t="s">
        <v>9</v>
      </c>
      <c r="C68" s="4">
        <v>10816775000274</v>
      </c>
      <c r="D68" s="5" t="s">
        <v>28</v>
      </c>
      <c r="E68" s="6">
        <v>3</v>
      </c>
      <c r="F68" s="11">
        <v>42248</v>
      </c>
      <c r="G68" s="11">
        <v>44166</v>
      </c>
      <c r="H68" s="8">
        <f>360*12</f>
        <v>4320</v>
      </c>
      <c r="I68" s="9" t="s">
        <v>11</v>
      </c>
    </row>
    <row r="69" spans="1:9" ht="21" customHeight="1" x14ac:dyDescent="0.2">
      <c r="A69" s="2">
        <f>IFERROR(VLOOKUP(B69,'[1]DADOS (OCULTAR)'!$P$3:$R$53,3,0),"")</f>
        <v>9039744000941</v>
      </c>
      <c r="B69" s="3" t="s">
        <v>9</v>
      </c>
      <c r="C69" s="4">
        <v>13409775000167</v>
      </c>
      <c r="D69" s="5" t="s">
        <v>29</v>
      </c>
      <c r="E69" s="6">
        <v>1</v>
      </c>
      <c r="F69" s="11">
        <v>43397</v>
      </c>
      <c r="G69" s="11">
        <v>43710</v>
      </c>
      <c r="H69" s="10">
        <f>1277.68*12</f>
        <v>15332.16</v>
      </c>
      <c r="I69" s="9" t="s">
        <v>11</v>
      </c>
    </row>
    <row r="70" spans="1:9" ht="21" customHeight="1" x14ac:dyDescent="0.2">
      <c r="A70" s="2">
        <f>IFERROR(VLOOKUP(B70,'[1]DADOS (OCULTAR)'!$P$3:$R$53,3,0),"")</f>
        <v>9039744000941</v>
      </c>
      <c r="B70" s="3" t="s">
        <v>9</v>
      </c>
      <c r="C70" s="4">
        <v>13409775000167</v>
      </c>
      <c r="D70" s="5" t="s">
        <v>29</v>
      </c>
      <c r="E70" s="6">
        <v>2</v>
      </c>
      <c r="F70" s="11">
        <v>43710</v>
      </c>
      <c r="G70" s="11">
        <v>44166</v>
      </c>
      <c r="H70" s="10">
        <f>1674*12</f>
        <v>20088</v>
      </c>
      <c r="I70" s="9" t="s">
        <v>11</v>
      </c>
    </row>
    <row r="71" spans="1:9" ht="21" customHeight="1" x14ac:dyDescent="0.2">
      <c r="A71" s="2">
        <f>IFERROR(VLOOKUP(B71,'[1]DADOS (OCULTAR)'!$P$3:$R$53,3,0),"")</f>
        <v>9039744000941</v>
      </c>
      <c r="B71" s="3" t="s">
        <v>9</v>
      </c>
      <c r="C71" s="4">
        <v>11735586000159</v>
      </c>
      <c r="D71" s="5" t="s">
        <v>30</v>
      </c>
      <c r="E71" s="6">
        <v>1</v>
      </c>
      <c r="F71" s="11">
        <v>43832</v>
      </c>
      <c r="G71" s="11">
        <v>44198</v>
      </c>
      <c r="H71" s="10">
        <f>826*4</f>
        <v>3304</v>
      </c>
      <c r="I71" s="9" t="s">
        <v>11</v>
      </c>
    </row>
    <row r="72" spans="1:9" ht="21" customHeight="1" x14ac:dyDescent="0.2">
      <c r="A72" s="2">
        <f>IFERROR(VLOOKUP(B72,'[1]DADOS (OCULTAR)'!$P$3:$R$53,3,0),"")</f>
        <v>9039744000941</v>
      </c>
      <c r="B72" s="3" t="s">
        <v>9</v>
      </c>
      <c r="C72" s="4">
        <v>27814653000160</v>
      </c>
      <c r="D72" s="5" t="s">
        <v>31</v>
      </c>
      <c r="E72" s="6">
        <v>1</v>
      </c>
      <c r="F72" s="11">
        <v>43743</v>
      </c>
      <c r="G72" s="11">
        <v>44166</v>
      </c>
      <c r="H72" s="8">
        <v>4801.26</v>
      </c>
      <c r="I72" s="9" t="s">
        <v>11</v>
      </c>
    </row>
    <row r="73" spans="1:9" ht="21" customHeight="1" x14ac:dyDescent="0.2">
      <c r="A73" s="2">
        <f>IFERROR(VLOOKUP(B73,'[1]DADOS (OCULTAR)'!$P$3:$R$53,3,0),"")</f>
        <v>9039744000941</v>
      </c>
      <c r="B73" s="3" t="s">
        <v>9</v>
      </c>
      <c r="C73" s="4">
        <v>17398584000106</v>
      </c>
      <c r="D73" s="5" t="s">
        <v>32</v>
      </c>
      <c r="E73" s="6">
        <v>1</v>
      </c>
      <c r="F73" s="11">
        <v>43739</v>
      </c>
      <c r="G73" s="11">
        <v>44105</v>
      </c>
      <c r="H73" s="8">
        <f>600*12</f>
        <v>7200</v>
      </c>
      <c r="I73" s="9" t="s">
        <v>11</v>
      </c>
    </row>
    <row r="74" spans="1:9" ht="21" customHeight="1" x14ac:dyDescent="0.2">
      <c r="A74" s="2">
        <f>IFERROR(VLOOKUP(B74,'[1]DADOS (OCULTAR)'!$P$3:$R$53,3,0),"")</f>
        <v>9039744000941</v>
      </c>
      <c r="B74" s="3" t="s">
        <v>9</v>
      </c>
      <c r="C74" s="4">
        <v>11343756000150</v>
      </c>
      <c r="D74" s="5" t="s">
        <v>33</v>
      </c>
      <c r="E74" s="6">
        <v>1</v>
      </c>
      <c r="F74" s="11">
        <v>41396</v>
      </c>
      <c r="G74" s="11">
        <v>44166</v>
      </c>
      <c r="H74" s="8">
        <f>250*12</f>
        <v>3000</v>
      </c>
      <c r="I74" s="9" t="s">
        <v>11</v>
      </c>
    </row>
    <row r="75" spans="1:9" ht="21" customHeight="1" x14ac:dyDescent="0.2">
      <c r="A75" s="2" t="str">
        <f>IFERROR(VLOOKUP(B75,'[1]DADOS (OCULTAR)'!$P$3:$R$53,3,0),"")</f>
        <v/>
      </c>
      <c r="B75" s="3"/>
      <c r="C75" s="4"/>
      <c r="D75" s="5"/>
      <c r="E75" s="6"/>
      <c r="F75" s="11"/>
      <c r="G75" s="11"/>
      <c r="H75" s="8"/>
      <c r="I75" s="5"/>
    </row>
    <row r="76" spans="1:9" ht="21" customHeight="1" x14ac:dyDescent="0.2">
      <c r="A76" s="2" t="str">
        <f>IFERROR(VLOOKUP(B76,'[1]DADOS (OCULTAR)'!$P$3:$R$53,3,0),"")</f>
        <v/>
      </c>
      <c r="B76" s="3"/>
      <c r="C76" s="4"/>
      <c r="D76" s="5"/>
      <c r="E76" s="6"/>
      <c r="F76" s="11"/>
      <c r="G76" s="11"/>
      <c r="H76" s="8"/>
      <c r="I76" s="5"/>
    </row>
    <row r="77" spans="1:9" ht="21" customHeight="1" x14ac:dyDescent="0.2">
      <c r="A77" s="2" t="str">
        <f>IFERROR(VLOOKUP(B77,'[1]DADOS (OCULTAR)'!$P$3:$R$53,3,0),"")</f>
        <v/>
      </c>
      <c r="B77" s="3"/>
      <c r="C77" s="4"/>
      <c r="D77" s="5"/>
      <c r="E77" s="6"/>
      <c r="F77" s="11"/>
      <c r="G77" s="11"/>
      <c r="H77" s="8"/>
      <c r="I77" s="5"/>
    </row>
    <row r="78" spans="1:9" ht="21" customHeight="1" x14ac:dyDescent="0.2">
      <c r="A78" s="2" t="str">
        <f>IFERROR(VLOOKUP(B78,'[1]DADOS (OCULTAR)'!$P$3:$R$53,3,0),"")</f>
        <v/>
      </c>
      <c r="B78" s="3"/>
      <c r="C78" s="4"/>
      <c r="D78" s="5"/>
      <c r="E78" s="6"/>
      <c r="F78" s="11"/>
      <c r="G78" s="11"/>
      <c r="H78" s="8"/>
      <c r="I78" s="5"/>
    </row>
    <row r="79" spans="1:9" ht="21" customHeight="1" x14ac:dyDescent="0.2">
      <c r="A79" s="2" t="str">
        <f>IFERROR(VLOOKUP(B79,'[1]DADOS (OCULTAR)'!$P$3:$R$53,3,0),"")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(OCULTAR)'!$P$3:$R$53,3,0),"")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(OCULTAR)'!$P$3:$R$53,3,0),"")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(OCULTAR)'!$P$3:$R$53,3,0),"")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(OCULTAR)'!$P$3:$R$53,3,0),"")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(OCULTAR)'!$P$3:$R$53,3,0),"")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(OCULTAR)'!$P$3:$R$53,3,0),"")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(OCULTAR)'!$P$3:$R$53,3,0),"")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(OCULTAR)'!$P$3:$R$53,3,0),"")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(OCULTAR)'!$P$3:$R$53,3,0),"")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(OCULTAR)'!$P$3:$R$53,3,0),"")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(OCULTAR)'!$P$3:$R$53,3,0),"")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(OCULTAR)'!$P$3:$R$53,3,0),"")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(OCULTAR)'!$P$3:$R$53,3,0),"")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(OCULTAR)'!$P$3:$R$53,3,0),"")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(OCULTAR)'!$P$3:$R$53,3,0),"")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(OCULTAR)'!$P$3:$R$53,3,0),"")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(OCULTAR)'!$P$3:$R$53,3,0),"")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(OCULTAR)'!$P$3:$R$53,3,0),"")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(OCULTAR)'!$P$3:$R$53,3,0),"")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(OCULTAR)'!$P$3:$R$53,3,0),"")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(OCULTAR)'!$P$3:$R$53,3,0),"")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(OCULTAR)'!$P$3:$R$53,3,0),"")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(OCULTAR)'!$P$3:$R$53,3,0),"")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(OCULTAR)'!$P$3:$R$53,3,0),"")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(OCULTAR)'!$P$3:$R$53,3,0),"")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(OCULTAR)'!$P$3:$R$53,3,0),"")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(OCULTAR)'!$P$3:$R$53,3,0),"")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(OCULTAR)'!$P$3:$R$53,3,0),"")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(OCULTAR)'!$P$3:$R$53,3,0),"")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(OCULTAR)'!$P$3:$R$53,3,0),"")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(OCULTAR)'!$P$3:$R$53,3,0),"")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(OCULTAR)'!$P$3:$R$53,3,0),"")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(OCULTAR)'!$P$3:$R$53,3,0),"")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(OCULTAR)'!$P$3:$R$53,3,0),"")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(OCULTAR)'!$P$3:$R$53,3,0),"")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(OCULTAR)'!$P$3:$R$53,3,0),"")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(OCULTAR)'!$P$3:$R$53,3,0),"")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(OCULTAR)'!$P$3:$R$53,3,0),"")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(OCULTAR)'!$P$3:$R$53,3,0),"")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(OCULTAR)'!$P$3:$R$53,3,0),"")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(OCULTAR)'!$P$3:$R$53,3,0),"")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(OCULTAR)'!$P$3:$R$53,3,0),"")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(OCULTAR)'!$P$3:$R$53,3,0),"")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(OCULTAR)'!$P$3:$R$53,3,0),"")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(OCULTAR)'!$P$3:$R$53,3,0),"")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(OCULTAR)'!$P$3:$R$53,3,0),"")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(OCULTAR)'!$P$3:$R$53,3,0),"")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(OCULTAR)'!$P$3:$R$53,3,0),"")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(OCULTAR)'!$P$3:$R$53,3,0),"")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(OCULTAR)'!$P$3:$R$53,3,0),"")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(OCULTAR)'!$P$3:$R$53,3,0),"")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(OCULTAR)'!$P$3:$R$53,3,0),"")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(OCULTAR)'!$P$3:$R$53,3,0),"")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(OCULTAR)'!$P$3:$R$53,3,0),"")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(OCULTAR)'!$P$3:$R$53,3,0),"")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(OCULTAR)'!$P$3:$R$53,3,0),"")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(OCULTAR)'!$P$3:$R$53,3,0),"")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(OCULTAR)'!$P$3:$R$53,3,0),"")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(OCULTAR)'!$P$3:$R$53,3,0),"")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(OCULTAR)'!$P$3:$R$53,3,0),"")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(OCULTAR)'!$P$3:$R$53,3,0),"")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(OCULTAR)'!$P$3:$R$53,3,0),"")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(OCULTAR)'!$P$3:$R$53,3,0),"")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(OCULTAR)'!$P$3:$R$53,3,0),"")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(OCULTAR)'!$P$3:$R$53,3,0),"")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(OCULTAR)'!$P$3:$R$53,3,0),"")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(OCULTAR)'!$P$3:$R$53,3,0),"")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(OCULTAR)'!$P$3:$R$53,3,0),"")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(OCULTAR)'!$P$3:$R$53,3,0),"")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(OCULTAR)'!$P$3:$R$53,3,0),"")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(OCULTAR)'!$P$3:$R$53,3,0),"")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(OCULTAR)'!$P$3:$R$53,3,0),"")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(OCULTAR)'!$P$3:$R$53,3,0),"")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(OCULTAR)'!$P$3:$R$53,3,0),"")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(OCULTAR)'!$P$3:$R$53,3,0),"")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(OCULTAR)'!$P$3:$R$53,3,0),"")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(OCULTAR)'!$P$3:$R$53,3,0),"")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(OCULTAR)'!$P$3:$R$53,3,0),"")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(OCULTAR)'!$P$3:$R$53,3,0),"")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(OCULTAR)'!$P$3:$R$53,3,0),"")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(OCULTAR)'!$P$3:$R$53,3,0),"")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(OCULTAR)'!$P$3:$R$53,3,0),"")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(OCULTAR)'!$P$3:$R$53,3,0),"")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(OCULTAR)'!$P$3:$R$53,3,0),"")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(OCULTAR)'!$P$3:$R$53,3,0),"")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(OCULTAR)'!$P$3:$R$53,3,0),"")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(OCULTAR)'!$P$3:$R$53,3,0),"")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(OCULTAR)'!$P$3:$R$53,3,0),"")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(OCULTAR)'!$P$3:$R$53,3,0),"")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(OCULTAR)'!$P$3:$R$53,3,0),"")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(OCULTAR)'!$P$3:$R$53,3,0),"")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(OCULTAR)'!$P$3:$R$53,3,0),"")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(OCULTAR)'!$P$3:$R$53,3,0),"")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(OCULTAR)'!$P$3:$R$53,3,0),"")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(OCULTAR)'!$P$3:$R$53,3,0),"")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(OCULTAR)'!$P$3:$R$53,3,0),"")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(OCULTAR)'!$P$3:$R$53,3,0),"")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(OCULTAR)'!$P$3:$R$53,3,0),"")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(OCULTAR)'!$P$3:$R$53,3,0),"")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(OCULTAR)'!$P$3:$R$53,3,0),"")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(OCULTAR)'!$P$3:$R$53,3,0),"")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(OCULTAR)'!$P$3:$R$53,3,0),"")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(OCULTAR)'!$P$3:$R$53,3,0),"")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(OCULTAR)'!$P$3:$R$53,3,0),"")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(OCULTAR)'!$P$3:$R$53,3,0),"")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(OCULTAR)'!$P$3:$R$53,3,0),"")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(OCULTAR)'!$P$3:$R$53,3,0),"")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(OCULTAR)'!$P$3:$R$53,3,0),"")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(OCULTAR)'!$P$3:$R$53,3,0),"")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(OCULTAR)'!$P$3:$R$53,3,0),"")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(OCULTAR)'!$P$3:$R$53,3,0),"")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(OCULTAR)'!$P$3:$R$53,3,0),"")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(OCULTAR)'!$P$3:$R$53,3,0),"")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(OCULTAR)'!$P$3:$R$53,3,0),"")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(OCULTAR)'!$P$3:$R$53,3,0),"")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(OCULTAR)'!$P$3:$R$53,3,0),"")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(OCULTAR)'!$P$3:$R$53,3,0),"")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(OCULTAR)'!$P$3:$R$53,3,0),"")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(OCULTAR)'!$P$3:$R$53,3,0),"")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(OCULTAR)'!$P$3:$R$53,3,0),"")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(OCULTAR)'!$P$3:$R$53,3,0),"")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(OCULTAR)'!$P$3:$R$53,3,0),"")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(OCULTAR)'!$P$3:$R$53,3,0),"")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(OCULTAR)'!$P$3:$R$53,3,0),"")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(OCULTAR)'!$P$3:$R$53,3,0),"")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(OCULTAR)'!$P$3:$R$53,3,0),"")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(OCULTAR)'!$P$3:$R$53,3,0),"")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(OCULTAR)'!$P$3:$R$53,3,0),"")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(OCULTAR)'!$P$3:$R$53,3,0),"")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(OCULTAR)'!$P$3:$R$53,3,0),"")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(OCULTAR)'!$P$3:$R$53,3,0),"")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(OCULTAR)'!$P$3:$R$53,3,0),"")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(OCULTAR)'!$P$3:$R$53,3,0),"")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(OCULTAR)'!$P$3:$R$53,3,0),"")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(OCULTAR)'!$P$3:$R$53,3,0),"")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(OCULTAR)'!$P$3:$R$53,3,0),"")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(OCULTAR)'!$P$3:$R$53,3,0),"")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(OCULTAR)'!$P$3:$R$53,3,0),"")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(OCULTAR)'!$P$3:$R$53,3,0),"")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(OCULTAR)'!$P$3:$R$53,3,0),"")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(OCULTAR)'!$P$3:$R$53,3,0),"")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(OCULTAR)'!$P$3:$R$53,3,0),"")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(OCULTAR)'!$P$3:$R$53,3,0),"")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(OCULTAR)'!$P$3:$R$53,3,0),"")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(OCULTAR)'!$P$3:$R$53,3,0),"")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(OCULTAR)'!$P$3:$R$53,3,0),"")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(OCULTAR)'!$P$3:$R$53,3,0),"")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(OCULTAR)'!$P$3:$R$53,3,0),"")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(OCULTAR)'!$P$3:$R$53,3,0),"")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(OCULTAR)'!$P$3:$R$53,3,0),"")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(OCULTAR)'!$P$3:$R$53,3,0),"")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(OCULTAR)'!$P$3:$R$53,3,0),"")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(OCULTAR)'!$P$3:$R$53,3,0),"")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(OCULTAR)'!$P$3:$R$53,3,0),"")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(OCULTAR)'!$P$3:$R$53,3,0),"")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(OCULTAR)'!$P$3:$R$53,3,0),"")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(OCULTAR)'!$P$3:$R$53,3,0),"")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(OCULTAR)'!$P$3:$R$53,3,0),"")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(OCULTAR)'!$P$3:$R$53,3,0),"")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(OCULTAR)'!$P$3:$R$53,3,0),"")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(OCULTAR)'!$P$3:$R$53,3,0),"")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(OCULTAR)'!$P$3:$R$53,3,0),"")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(OCULTAR)'!$P$3:$R$53,3,0),"")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(OCULTAR)'!$P$3:$R$53,3,0),"")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(OCULTAR)'!$P$3:$R$53,3,0),"")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(OCULTAR)'!$P$3:$R$53,3,0),"")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(OCULTAR)'!$P$3:$R$53,3,0),"")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(OCULTAR)'!$P$3:$R$53,3,0),"")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(OCULTAR)'!$P$3:$R$53,3,0),"")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(OCULTAR)'!$P$3:$R$53,3,0),"")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(OCULTAR)'!$P$3:$R$53,3,0),"")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(OCULTAR)'!$P$3:$R$53,3,0),"")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(OCULTAR)'!$P$3:$R$53,3,0),"")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(OCULTAR)'!$P$3:$R$53,3,0),"")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(OCULTAR)'!$P$3:$R$53,3,0),"")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(OCULTAR)'!$P$3:$R$53,3,0),"")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(OCULTAR)'!$P$3:$R$53,3,0),"")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(OCULTAR)'!$P$3:$R$53,3,0),"")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(OCULTAR)'!$P$3:$R$53,3,0),"")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(OCULTAR)'!$P$3:$R$53,3,0),"")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(OCULTAR)'!$P$3:$R$53,3,0),"")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(OCULTAR)'!$P$3:$R$53,3,0),"")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(OCULTAR)'!$P$3:$R$53,3,0),"")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(OCULTAR)'!$P$3:$R$53,3,0),"")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(OCULTAR)'!$P$3:$R$53,3,0),"")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(OCULTAR)'!$P$3:$R$53,3,0),"")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(OCULTAR)'!$P$3:$R$53,3,0),"")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(OCULTAR)'!$P$3:$R$53,3,0),"")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(OCULTAR)'!$P$3:$R$53,3,0),"")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(OCULTAR)'!$P$3:$R$53,3,0),"")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(OCULTAR)'!$P$3:$R$53,3,0),"")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(OCULTAR)'!$P$3:$R$53,3,0),"")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(OCULTAR)'!$P$3:$R$53,3,0),"")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(OCULTAR)'!$P$3:$R$53,3,0),"")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(OCULTAR)'!$P$3:$R$53,3,0),"")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(OCULTAR)'!$P$3:$R$53,3,0),"")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(OCULTAR)'!$P$3:$R$53,3,0),"")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(OCULTAR)'!$P$3:$R$53,3,0),"")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(OCULTAR)'!$P$3:$R$53,3,0),"")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(OCULTAR)'!$P$3:$R$53,3,0),"")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(OCULTAR)'!$P$3:$R$53,3,0),"")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(OCULTAR)'!$P$3:$R$53,3,0),"")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(OCULTAR)'!$P$3:$R$53,3,0),"")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(OCULTAR)'!$P$3:$R$53,3,0),"")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(OCULTAR)'!$P$3:$R$53,3,0),"")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(OCULTAR)'!$P$3:$R$53,3,0),"")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(OCULTAR)'!$P$3:$R$53,3,0),"")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(OCULTAR)'!$P$3:$R$53,3,0),"")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(OCULTAR)'!$P$3:$R$53,3,0),"")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(OCULTAR)'!$P$3:$R$53,3,0),"")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(OCULTAR)'!$P$3:$R$53,3,0),"")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(OCULTAR)'!$P$3:$R$53,3,0),"")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(OCULTAR)'!$P$3:$R$53,3,0),"")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(OCULTAR)'!$P$3:$R$53,3,0),"")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(OCULTAR)'!$P$3:$R$53,3,0),"")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(OCULTAR)'!$P$3:$R$53,3,0),"")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(OCULTAR)'!$P$3:$R$53,3,0),"")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(OCULTAR)'!$P$3:$R$53,3,0),"")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(OCULTAR)'!$P$3:$R$53,3,0),"")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(OCULTAR)'!$P$3:$R$53,3,0),"")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(OCULTAR)'!$P$3:$R$53,3,0),"")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(OCULTAR)'!$P$3:$R$53,3,0),"")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(OCULTAR)'!$P$3:$R$53,3,0),"")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(OCULTAR)'!$P$3:$R$53,3,0),"")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(OCULTAR)'!$P$3:$R$53,3,0),"")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(OCULTAR)'!$P$3:$R$53,3,0),"")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(OCULTAR)'!$P$3:$R$53,3,0),"")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(OCULTAR)'!$P$3:$R$53,3,0),"")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(OCULTAR)'!$P$3:$R$53,3,0),"")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(OCULTAR)'!$P$3:$R$53,3,0),"")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(OCULTAR)'!$P$3:$R$53,3,0),"")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(OCULTAR)'!$P$3:$R$53,3,0),"")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(OCULTAR)'!$P$3:$R$53,3,0),"")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(OCULTAR)'!$P$3:$R$53,3,0),"")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(OCULTAR)'!$P$3:$R$53,3,0),"")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(OCULTAR)'!$P$3:$R$53,3,0),"")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(OCULTAR)'!$P$3:$R$53,3,0),"")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(OCULTAR)'!$P$3:$R$53,3,0),"")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(OCULTAR)'!$P$3:$R$53,3,0),"")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(OCULTAR)'!$P$3:$R$53,3,0),"")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(OCULTAR)'!$P$3:$R$53,3,0),"")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(OCULTAR)'!$P$3:$R$53,3,0),"")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(OCULTAR)'!$P$3:$R$53,3,0),"")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(OCULTAR)'!$P$3:$R$53,3,0),"")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(OCULTAR)'!$P$3:$R$53,3,0),"")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(OCULTAR)'!$P$3:$R$53,3,0),"")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(OCULTAR)'!$P$3:$R$53,3,0),"")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(OCULTAR)'!$P$3:$R$53,3,0),"")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(OCULTAR)'!$P$3:$R$53,3,0),"")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(OCULTAR)'!$P$3:$R$53,3,0),"")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(OCULTAR)'!$P$3:$R$53,3,0),"")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(OCULTAR)'!$P$3:$R$53,3,0),"")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(OCULTAR)'!$P$3:$R$53,3,0),"")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(OCULTAR)'!$P$3:$R$53,3,0),"")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(OCULTAR)'!$P$3:$R$53,3,0),"")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(OCULTAR)'!$P$3:$R$53,3,0),"")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(OCULTAR)'!$P$3:$R$53,3,0),"")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(OCULTAR)'!$P$3:$R$53,3,0),"")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(OCULTAR)'!$P$3:$R$53,3,0),"")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(OCULTAR)'!$P$3:$R$53,3,0),"")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(OCULTAR)'!$P$3:$R$53,3,0),"")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(OCULTAR)'!$P$3:$R$53,3,0),"")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(OCULTAR)'!$P$3:$R$53,3,0),"")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(OCULTAR)'!$P$3:$R$53,3,0),"")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(OCULTAR)'!$P$3:$R$53,3,0),"")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(OCULTAR)'!$P$3:$R$53,3,0),"")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(OCULTAR)'!$P$3:$R$53,3,0),"")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(OCULTAR)'!$P$3:$R$53,3,0),"")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(OCULTAR)'!$P$3:$R$53,3,0),"")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(OCULTAR)'!$P$3:$R$53,3,0),"")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(OCULTAR)'!$P$3:$R$53,3,0),"")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(OCULTAR)'!$P$3:$R$53,3,0),"")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(OCULTAR)'!$P$3:$R$53,3,0),"")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(OCULTAR)'!$P$3:$R$53,3,0),"")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(OCULTAR)'!$P$3:$R$53,3,0),"")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(OCULTAR)'!$P$3:$R$53,3,0),"")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(OCULTAR)'!$P$3:$R$53,3,0),"")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(OCULTAR)'!$P$3:$R$53,3,0),"")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(OCULTAR)'!$P$3:$R$53,3,0),"")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(OCULTAR)'!$P$3:$R$53,3,0),"")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(OCULTAR)'!$P$3:$R$53,3,0),"")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(OCULTAR)'!$P$3:$R$53,3,0),"")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(OCULTAR)'!$P$3:$R$53,3,0),"")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(OCULTAR)'!$P$3:$R$53,3,0),"")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(OCULTAR)'!$P$3:$R$53,3,0),"")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(OCULTAR)'!$P$3:$R$53,3,0),"")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(OCULTAR)'!$P$3:$R$53,3,0),"")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(OCULTAR)'!$P$3:$R$53,3,0),"")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(OCULTAR)'!$P$3:$R$53,3,0),"")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(OCULTAR)'!$P$3:$R$53,3,0),"")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(OCULTAR)'!$P$3:$R$53,3,0),"")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(OCULTAR)'!$P$3:$R$53,3,0),"")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(OCULTAR)'!$P$3:$R$53,3,0),"")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(OCULTAR)'!$P$3:$R$53,3,0),"")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(OCULTAR)'!$P$3:$R$53,3,0),"")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(OCULTAR)'!$P$3:$R$53,3,0),"")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(OCULTAR)'!$P$3:$R$53,3,0),"")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(OCULTAR)'!$P$3:$R$53,3,0),"")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(OCULTAR)'!$P$3:$R$53,3,0),"")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(OCULTAR)'!$P$3:$R$53,3,0),"")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(OCULTAR)'!$P$3:$R$53,3,0),"")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(OCULTAR)'!$P$3:$R$53,3,0),"")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(OCULTAR)'!$P$3:$R$53,3,0),"")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(OCULTAR)'!$P$3:$R$53,3,0),"")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(OCULTAR)'!$P$3:$R$53,3,0),"")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(OCULTAR)'!$P$3:$R$53,3,0),"")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(OCULTAR)'!$P$3:$R$53,3,0),"")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(OCULTAR)'!$P$3:$R$53,3,0),"")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(OCULTAR)'!$P$3:$R$53,3,0),"")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(OCULTAR)'!$P$3:$R$53,3,0),"")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(OCULTAR)'!$P$3:$R$53,3,0),"")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(OCULTAR)'!$P$3:$R$53,3,0),"")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(OCULTAR)'!$P$3:$R$53,3,0),"")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(OCULTAR)'!$P$3:$R$53,3,0),"")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(OCULTAR)'!$P$3:$R$53,3,0),"")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(OCULTAR)'!$P$3:$R$53,3,0),"")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(OCULTAR)'!$P$3:$R$53,3,0),"")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(OCULTAR)'!$P$3:$R$53,3,0),"")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(OCULTAR)'!$P$3:$R$53,3,0),"")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(OCULTAR)'!$P$3:$R$53,3,0),"")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(OCULTAR)'!$P$3:$R$53,3,0),"")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(OCULTAR)'!$P$3:$R$53,3,0),"")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(OCULTAR)'!$P$3:$R$53,3,0),"")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(OCULTAR)'!$P$3:$R$53,3,0),"")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(OCULTAR)'!$P$3:$R$53,3,0),"")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(OCULTAR)'!$P$3:$R$53,3,0),"")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(OCULTAR)'!$P$3:$R$53,3,0),"")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(OCULTAR)'!$P$3:$R$53,3,0),"")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(OCULTAR)'!$P$3:$R$53,3,0),"")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(OCULTAR)'!$P$3:$R$53,3,0),"")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(OCULTAR)'!$P$3:$R$53,3,0),"")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(OCULTAR)'!$P$3:$R$53,3,0),"")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(OCULTAR)'!$P$3:$R$53,3,0),"")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(OCULTAR)'!$P$3:$R$53,3,0),"")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(OCULTAR)'!$P$3:$R$53,3,0),"")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(OCULTAR)'!$P$3:$R$53,3,0),"")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(OCULTAR)'!$P$3:$R$53,3,0),"")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(OCULTAR)'!$P$3:$R$53,3,0),"")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(OCULTAR)'!$P$3:$R$53,3,0),"")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(OCULTAR)'!$P$3:$R$53,3,0),"")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(OCULTAR)'!$P$3:$R$53,3,0),"")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(OCULTAR)'!$P$3:$R$53,3,0),"")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(OCULTAR)'!$P$3:$R$53,3,0),"")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(OCULTAR)'!$P$3:$R$53,3,0),"")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(OCULTAR)'!$P$3:$R$53,3,0),"")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(OCULTAR)'!$P$3:$R$53,3,0),"")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(OCULTAR)'!$P$3:$R$53,3,0),"")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(OCULTAR)'!$P$3:$R$53,3,0),"")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(OCULTAR)'!$P$3:$R$53,3,0),"")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(OCULTAR)'!$P$3:$R$53,3,0),"")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(OCULTAR)'!$P$3:$R$53,3,0),"")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(OCULTAR)'!$P$3:$R$53,3,0),"")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(OCULTAR)'!$P$3:$R$53,3,0),"")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(OCULTAR)'!$P$3:$R$53,3,0),"")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(OCULTAR)'!$P$3:$R$53,3,0),"")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(OCULTAR)'!$P$3:$R$53,3,0),"")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(OCULTAR)'!$P$3:$R$53,3,0),"")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(OCULTAR)'!$P$3:$R$53,3,0),"")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(OCULTAR)'!$P$3:$R$53,3,0),"")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(OCULTAR)'!$P$3:$R$53,3,0),"")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(OCULTAR)'!$P$3:$R$53,3,0),"")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(OCULTAR)'!$P$3:$R$53,3,0),"")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(OCULTAR)'!$P$3:$R$53,3,0),"")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(OCULTAR)'!$P$3:$R$53,3,0),"")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(OCULTAR)'!$P$3:$R$53,3,0),"")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(OCULTAR)'!$P$3:$R$53,3,0),"")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(OCULTAR)'!$P$3:$R$53,3,0),"")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(OCULTAR)'!$P$3:$R$53,3,0),"")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(OCULTAR)'!$P$3:$R$53,3,0),"")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(OCULTAR)'!$P$3:$R$53,3,0),"")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(OCULTAR)'!$P$3:$R$53,3,0),"")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(OCULTAR)'!$P$3:$R$53,3,0),"")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(OCULTAR)'!$P$3:$R$53,3,0),"")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(OCULTAR)'!$P$3:$R$53,3,0),"")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(OCULTAR)'!$P$3:$R$53,3,0),"")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(OCULTAR)'!$P$3:$R$53,3,0),"")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(OCULTAR)'!$P$3:$R$53,3,0),"")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(OCULTAR)'!$P$3:$R$53,3,0),"")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(OCULTAR)'!$P$3:$R$53,3,0),"")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(OCULTAR)'!$P$3:$R$53,3,0),"")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(OCULTAR)'!$P$3:$R$53,3,0),"")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(OCULTAR)'!$P$3:$R$53,3,0),"")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(OCULTAR)'!$P$3:$R$53,3,0),"")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(OCULTAR)'!$P$3:$R$53,3,0),"")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(OCULTAR)'!$P$3:$R$53,3,0),"")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(OCULTAR)'!$P$3:$R$53,3,0),"")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(OCULTAR)'!$P$3:$R$53,3,0),"")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(OCULTAR)'!$P$3:$R$53,3,0),"")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(OCULTAR)'!$P$3:$R$53,3,0),"")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(OCULTAR)'!$P$3:$R$53,3,0),"")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(OCULTAR)'!$P$3:$R$53,3,0),"")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(OCULTAR)'!$P$3:$R$53,3,0),"")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(OCULTAR)'!$P$3:$R$53,3,0),"")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(OCULTAR)'!$P$3:$R$53,3,0),"")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(OCULTAR)'!$P$3:$R$53,3,0),"")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(OCULTAR)'!$P$3:$R$53,3,0),"")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(OCULTAR)'!$P$3:$R$53,3,0),"")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(OCULTAR)'!$P$3:$R$53,3,0),"")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(OCULTAR)'!$P$3:$R$53,3,0),"")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(OCULTAR)'!$P$3:$R$53,3,0),"")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(OCULTAR)'!$P$3:$R$53,3,0),"")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(OCULTAR)'!$P$3:$R$53,3,0),"")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(OCULTAR)'!$P$3:$R$53,3,0),"")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(OCULTAR)'!$P$3:$R$53,3,0),"")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(OCULTAR)'!$P$3:$R$53,3,0),"")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(OCULTAR)'!$P$3:$R$53,3,0),"")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(OCULTAR)'!$P$3:$R$53,3,0),"")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(OCULTAR)'!$P$3:$R$53,3,0),"")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(OCULTAR)'!$P$3:$R$53,3,0),"")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(OCULTAR)'!$P$3:$R$53,3,0),"")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(OCULTAR)'!$P$3:$R$53,3,0),"")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(OCULTAR)'!$P$3:$R$53,3,0),"")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(OCULTAR)'!$P$3:$R$53,3,0),"")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(OCULTAR)'!$P$3:$R$53,3,0),"")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(OCULTAR)'!$P$3:$R$53,3,0),"")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(OCULTAR)'!$P$3:$R$53,3,0),"")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(OCULTAR)'!$P$3:$R$53,3,0),"")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(OCULTAR)'!$P$3:$R$53,3,0),"")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(OCULTAR)'!$P$3:$R$53,3,0),"")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(OCULTAR)'!$P$3:$R$53,3,0),"")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(OCULTAR)'!$P$3:$R$53,3,0),"")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(OCULTAR)'!$P$3:$R$53,3,0),"")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(OCULTAR)'!$P$3:$R$53,3,0),"")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(OCULTAR)'!$P$3:$R$53,3,0),"")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(OCULTAR)'!$P$3:$R$53,3,0),"")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(OCULTAR)'!$P$3:$R$53,3,0),"")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(OCULTAR)'!$P$3:$R$53,3,0),"")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(OCULTAR)'!$P$3:$R$53,3,0),"")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(OCULTAR)'!$P$3:$R$53,3,0),"")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(OCULTAR)'!$P$3:$R$53,3,0),"")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(OCULTAR)'!$P$3:$R$53,3,0),"")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(OCULTAR)'!$P$3:$R$53,3,0),"")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(OCULTAR)'!$P$3:$R$53,3,0),"")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(OCULTAR)'!$P$3:$R$53,3,0),"")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(OCULTAR)'!$P$3:$R$53,3,0),"")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(OCULTAR)'!$P$3:$R$53,3,0),"")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(OCULTAR)'!$P$3:$R$53,3,0),"")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(OCULTAR)'!$P$3:$R$53,3,0),"")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(OCULTAR)'!$P$3:$R$53,3,0),"")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(OCULTAR)'!$P$3:$R$53,3,0),"")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(OCULTAR)'!$P$3:$R$53,3,0),"")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(OCULTAR)'!$P$3:$R$53,3,0),"")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(OCULTAR)'!$P$3:$R$53,3,0),"")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(OCULTAR)'!$P$3:$R$53,3,0),"")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(OCULTAR)'!$P$3:$R$53,3,0),"")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(OCULTAR)'!$P$3:$R$53,3,0),"")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(OCULTAR)'!$P$3:$R$53,3,0),"")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(OCULTAR)'!$P$3:$R$53,3,0),"")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(OCULTAR)'!$P$3:$R$53,3,0),"")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(OCULTAR)'!$P$3:$R$53,3,0),"")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(OCULTAR)'!$P$3:$R$53,3,0),"")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(OCULTAR)'!$P$3:$R$53,3,0),"")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(OCULTAR)'!$P$3:$R$53,3,0),"")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(OCULTAR)'!$P$3:$R$53,3,0),"")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(OCULTAR)'!$P$3:$R$53,3,0),"")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(OCULTAR)'!$P$3:$R$53,3,0),"")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(OCULTAR)'!$P$3:$R$53,3,0),"")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(OCULTAR)'!$P$3:$R$53,3,0),"")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(OCULTAR)'!$P$3:$R$53,3,0),"")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(OCULTAR)'!$P$3:$R$53,3,0),"")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(OCULTAR)'!$P$3:$R$53,3,0),"")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(OCULTAR)'!$P$3:$R$53,3,0),"")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(OCULTAR)'!$P$3:$R$53,3,0),"")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(OCULTAR)'!$P$3:$R$53,3,0),"")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(OCULTAR)'!$P$3:$R$53,3,0),"")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(OCULTAR)'!$P$3:$R$53,3,0),"")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(OCULTAR)'!$P$3:$R$53,3,0),"")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(OCULTAR)'!$P$3:$R$53,3,0),"")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(OCULTAR)'!$P$3:$R$53,3,0),"")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(OCULTAR)'!$P$3:$R$53,3,0),"")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(OCULTAR)'!$P$3:$R$53,3,0),"")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(OCULTAR)'!$P$3:$R$53,3,0),"")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(OCULTAR)'!$P$3:$R$53,3,0),"")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(OCULTAR)'!$P$3:$R$53,3,0),"")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(OCULTAR)'!$P$3:$R$53,3,0),"")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(OCULTAR)'!$P$3:$R$53,3,0),"")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(OCULTAR)'!$P$3:$R$53,3,0),"")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(OCULTAR)'!$P$3:$R$53,3,0),"")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(OCULTAR)'!$P$3:$R$53,3,0),"")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(OCULTAR)'!$P$3:$R$53,3,0),"")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(OCULTAR)'!$P$3:$R$53,3,0),"")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(OCULTAR)'!$P$3:$R$53,3,0),"")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(OCULTAR)'!$P$3:$R$53,3,0),"")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(OCULTAR)'!$P$3:$R$53,3,0),"")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(OCULTAR)'!$P$3:$R$53,3,0),"")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(OCULTAR)'!$P$3:$R$53,3,0),"")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(OCULTAR)'!$P$3:$R$53,3,0),"")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(OCULTAR)'!$P$3:$R$53,3,0),"")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(OCULTAR)'!$P$3:$R$53,3,0),"")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(OCULTAR)'!$P$3:$R$53,3,0),"")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(OCULTAR)'!$P$3:$R$53,3,0),"")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(OCULTAR)'!$P$3:$R$53,3,0),"")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(OCULTAR)'!$P$3:$R$53,3,0),"")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(OCULTAR)'!$P$3:$R$53,3,0),"")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(OCULTAR)'!$P$3:$R$53,3,0),"")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(OCULTAR)'!$P$3:$R$53,3,0),"")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(OCULTAR)'!$P$3:$R$53,3,0),"")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(OCULTAR)'!$P$3:$R$53,3,0),"")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(OCULTAR)'!$P$3:$R$53,3,0),"")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(OCULTAR)'!$P$3:$R$53,3,0),"")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(OCULTAR)'!$P$3:$R$53,3,0),"")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(OCULTAR)'!$P$3:$R$53,3,0),"")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(OCULTAR)'!$P$3:$R$53,3,0),"")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(OCULTAR)'!$P$3:$R$53,3,0),"")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(OCULTAR)'!$P$3:$R$53,3,0),"")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(OCULTAR)'!$P$3:$R$53,3,0),"")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(OCULTAR)'!$P$3:$R$53,3,0),"")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(OCULTAR)'!$P$3:$R$53,3,0),"")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(OCULTAR)'!$P$3:$R$53,3,0),"")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(OCULTAR)'!$P$3:$R$53,3,0),"")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(OCULTAR)'!$P$3:$R$53,3,0),"")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(OCULTAR)'!$P$3:$R$53,3,0),"")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(OCULTAR)'!$P$3:$R$53,3,0),"")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(OCULTAR)'!$P$3:$R$53,3,0),"")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(OCULTAR)'!$P$3:$R$53,3,0),"")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(OCULTAR)'!$P$3:$R$53,3,0),"")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(OCULTAR)'!$P$3:$R$53,3,0),"")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(OCULTAR)'!$P$3:$R$53,3,0),"")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(OCULTAR)'!$P$3:$R$53,3,0),"")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(OCULTAR)'!$P$3:$R$53,3,0),"")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(OCULTAR)'!$P$3:$R$53,3,0),"")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(OCULTAR)'!$P$3:$R$53,3,0),"")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(OCULTAR)'!$P$3:$R$53,3,0),"")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(OCULTAR)'!$P$3:$R$53,3,0),"")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(OCULTAR)'!$P$3:$R$53,3,0),"")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(OCULTAR)'!$P$3:$R$53,3,0),"")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(OCULTAR)'!$P$3:$R$53,3,0),"")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(OCULTAR)'!$P$3:$R$53,3,0),"")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(OCULTAR)'!$P$3:$R$53,3,0),"")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(OCULTAR)'!$P$3:$R$53,3,0),"")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(OCULTAR)'!$P$3:$R$53,3,0),"")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(OCULTAR)'!$P$3:$R$53,3,0),"")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(OCULTAR)'!$P$3:$R$53,3,0),"")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(OCULTAR)'!$P$3:$R$53,3,0),"")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(OCULTAR)'!$P$3:$R$53,3,0),"")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(OCULTAR)'!$P$3:$R$53,3,0),"")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(OCULTAR)'!$P$3:$R$53,3,0),"")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(OCULTAR)'!$P$3:$R$53,3,0),"")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(OCULTAR)'!$P$3:$R$53,3,0),"")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(OCULTAR)'!$P$3:$R$53,3,0),"")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(OCULTAR)'!$P$3:$R$53,3,0),"")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(OCULTAR)'!$P$3:$R$53,3,0),"")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(OCULTAR)'!$P$3:$R$53,3,0),"")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(OCULTAR)'!$P$3:$R$53,3,0),"")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(OCULTAR)'!$P$3:$R$53,3,0),"")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(OCULTAR)'!$P$3:$R$53,3,0),"")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(OCULTAR)'!$P$3:$R$53,3,0),"")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(OCULTAR)'!$P$3:$R$53,3,0),"")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(OCULTAR)'!$P$3:$R$53,3,0),"")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(OCULTAR)'!$P$3:$R$53,3,0),"")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(OCULTAR)'!$P$3:$R$53,3,0),"")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(OCULTAR)'!$P$3:$R$53,3,0),"")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(OCULTAR)'!$P$3:$R$53,3,0),"")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(OCULTAR)'!$P$3:$R$53,3,0),"")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(OCULTAR)'!$P$3:$R$53,3,0),"")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(OCULTAR)'!$P$3:$R$53,3,0),"")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(OCULTAR)'!$P$3:$R$53,3,0),"")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(OCULTAR)'!$P$3:$R$53,3,0),"")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(OCULTAR)'!$P$3:$R$53,3,0),"")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(OCULTAR)'!$P$3:$R$53,3,0),"")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(OCULTAR)'!$P$3:$R$53,3,0),"")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(OCULTAR)'!$P$3:$R$53,3,0),"")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(OCULTAR)'!$P$3:$R$53,3,0),"")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(OCULTAR)'!$P$3:$R$53,3,0),"")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(OCULTAR)'!$P$3:$R$53,3,0),"")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(OCULTAR)'!$P$3:$R$53,3,0),"")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(OCULTAR)'!$P$3:$R$53,3,0),"")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(OCULTAR)'!$P$3:$R$53,3,0),"")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(OCULTAR)'!$P$3:$R$53,3,0),"")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(OCULTAR)'!$P$3:$R$53,3,0),"")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(OCULTAR)'!$P$3:$R$53,3,0),"")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(OCULTAR)'!$P$3:$R$53,3,0),"")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(OCULTAR)'!$P$3:$R$53,3,0),"")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(OCULTAR)'!$P$3:$R$53,3,0),"")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(OCULTAR)'!$P$3:$R$53,3,0),"")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(OCULTAR)'!$P$3:$R$53,3,0),"")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(OCULTAR)'!$P$3:$R$53,3,0),"")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(OCULTAR)'!$P$3:$R$53,3,0),"")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(OCULTAR)'!$P$3:$R$53,3,0),"")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(OCULTAR)'!$P$3:$R$53,3,0),"")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(OCULTAR)'!$P$3:$R$53,3,0),"")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(OCULTAR)'!$P$3:$R$53,3,0),"")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(OCULTAR)'!$P$3:$R$53,3,0),"")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(OCULTAR)'!$P$3:$R$53,3,0),"")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(OCULTAR)'!$P$3:$R$53,3,0),"")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(OCULTAR)'!$P$3:$R$53,3,0),"")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(OCULTAR)'!$P$3:$R$53,3,0),"")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(OCULTAR)'!$P$3:$R$53,3,0),"")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(OCULTAR)'!$P$3:$R$53,3,0),"")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(OCULTAR)'!$P$3:$R$53,3,0),"")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(OCULTAR)'!$P$3:$R$53,3,0),"")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(OCULTAR)'!$P$3:$R$53,3,0),"")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(OCULTAR)'!$P$3:$R$53,3,0),"")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(OCULTAR)'!$P$3:$R$53,3,0),"")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(OCULTAR)'!$P$3:$R$53,3,0),"")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(OCULTAR)'!$P$3:$R$53,3,0),"")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(OCULTAR)'!$P$3:$R$53,3,0),"")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(OCULTAR)'!$P$3:$R$53,3,0),"")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(OCULTAR)'!$P$3:$R$53,3,0),"")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(OCULTAR)'!$P$3:$R$53,3,0),"")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(OCULTAR)'!$P$3:$R$53,3,0),"")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(OCULTAR)'!$P$3:$R$53,3,0),"")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(OCULTAR)'!$P$3:$R$53,3,0),"")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(OCULTAR)'!$P$3:$R$53,3,0),"")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(OCULTAR)'!$P$3:$R$53,3,0),"")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(OCULTAR)'!$P$3:$R$53,3,0),"")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(OCULTAR)'!$P$3:$R$53,3,0),"")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(OCULTAR)'!$P$3:$R$53,3,0),"")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(OCULTAR)'!$P$3:$R$53,3,0),"")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(OCULTAR)'!$P$3:$R$53,3,0),"")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(OCULTAR)'!$P$3:$R$53,3,0),"")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(OCULTAR)'!$P$3:$R$53,3,0),"")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(OCULTAR)'!$P$3:$R$53,3,0),"")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(OCULTAR)'!$P$3:$R$53,3,0),"")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(OCULTAR)'!$P$3:$R$53,3,0),"")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(OCULTAR)'!$P$3:$R$53,3,0),"")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(OCULTAR)'!$P$3:$R$53,3,0),"")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(OCULTAR)'!$P$3:$R$53,3,0),"")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(OCULTAR)'!$P$3:$R$53,3,0),"")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(OCULTAR)'!$P$3:$R$53,3,0),"")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(OCULTAR)'!$P$3:$R$53,3,0),"")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(OCULTAR)'!$P$3:$R$53,3,0),"")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(OCULTAR)'!$P$3:$R$53,3,0),"")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(OCULTAR)'!$P$3:$R$53,3,0),"")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(OCULTAR)'!$P$3:$R$53,3,0),"")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(OCULTAR)'!$P$3:$R$53,3,0),"")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(OCULTAR)'!$P$3:$R$53,3,0),"")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(OCULTAR)'!$P$3:$R$53,3,0),"")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(OCULTAR)'!$P$3:$R$53,3,0),"")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(OCULTAR)'!$P$3:$R$53,3,0),"")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(OCULTAR)'!$P$3:$R$53,3,0),"")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(OCULTAR)'!$P$3:$R$53,3,0),"")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(OCULTAR)'!$P$3:$R$53,3,0),"")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(OCULTAR)'!$P$3:$R$53,3,0),"")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(OCULTAR)'!$P$3:$R$53,3,0),"")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(OCULTAR)'!$P$3:$R$53,3,0),"")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(OCULTAR)'!$P$3:$R$53,3,0),"")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(OCULTAR)'!$P$3:$R$53,3,0),"")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(OCULTAR)'!$P$3:$R$53,3,0),"")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(OCULTAR)'!$P$3:$R$53,3,0),"")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(OCULTAR)'!$P$3:$R$53,3,0),"")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(OCULTAR)'!$P$3:$R$53,3,0),"")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(OCULTAR)'!$P$3:$R$53,3,0),"")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(OCULTAR)'!$P$3:$R$53,3,0),"")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(OCULTAR)'!$P$3:$R$53,3,0),"")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(OCULTAR)'!$P$3:$R$53,3,0),"")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(OCULTAR)'!$P$3:$R$53,3,0),"")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(OCULTAR)'!$P$3:$R$53,3,0),"")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(OCULTAR)'!$P$3:$R$53,3,0),"")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(OCULTAR)'!$P$3:$R$53,3,0),"")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(OCULTAR)'!$P$3:$R$53,3,0),"")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(OCULTAR)'!$P$3:$R$53,3,0),"")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(OCULTAR)'!$P$3:$R$53,3,0),"")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(OCULTAR)'!$P$3:$R$53,3,0),"")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(OCULTAR)'!$P$3:$R$53,3,0),"")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(OCULTAR)'!$P$3:$R$53,3,0),"")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(OCULTAR)'!$P$3:$R$53,3,0),"")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(OCULTAR)'!$P$3:$R$53,3,0),"")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(OCULTAR)'!$P$3:$R$53,3,0),"")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(OCULTAR)'!$P$3:$R$53,3,0),"")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(OCULTAR)'!$P$3:$R$53,3,0),"")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(OCULTAR)'!$P$3:$R$53,3,0),"")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(OCULTAR)'!$P$3:$R$53,3,0),"")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(OCULTAR)'!$P$3:$R$53,3,0),"")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(OCULTAR)'!$P$3:$R$53,3,0),"")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(OCULTAR)'!$P$3:$R$53,3,0),"")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(OCULTAR)'!$P$3:$R$53,3,0),"")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(OCULTAR)'!$P$3:$R$53,3,0),"")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(OCULTAR)'!$P$3:$R$53,3,0),"")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(OCULTAR)'!$P$3:$R$53,3,0),"")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(OCULTAR)'!$P$3:$R$53,3,0),"")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(OCULTAR)'!$P$3:$R$53,3,0),"")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(OCULTAR)'!$P$3:$R$53,3,0),"")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(OCULTAR)'!$P$3:$R$53,3,0),"")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(OCULTAR)'!$P$3:$R$53,3,0),"")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(OCULTAR)'!$P$3:$R$53,3,0),"")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(OCULTAR)'!$P$3:$R$53,3,0),"")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(OCULTAR)'!$P$3:$R$53,3,0),"")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(OCULTAR)'!$P$3:$R$53,3,0),"")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(OCULTAR)'!$P$3:$R$53,3,0),"")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(OCULTAR)'!$P$3:$R$53,3,0),"")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(OCULTAR)'!$P$3:$R$53,3,0),"")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(OCULTAR)'!$P$3:$R$53,3,0),"")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(OCULTAR)'!$P$3:$R$53,3,0),"")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(OCULTAR)'!$P$3:$R$53,3,0),"")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(OCULTAR)'!$P$3:$R$53,3,0),"")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(OCULTAR)'!$P$3:$R$53,3,0),"")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(OCULTAR)'!$P$3:$R$53,3,0),"")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(OCULTAR)'!$P$3:$R$53,3,0),"")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(OCULTAR)'!$P$3:$R$53,3,0),"")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(OCULTAR)'!$P$3:$R$53,3,0),"")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(OCULTAR)'!$P$3:$R$53,3,0),"")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(OCULTAR)'!$P$3:$R$53,3,0),"")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(OCULTAR)'!$P$3:$R$53,3,0),"")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(OCULTAR)'!$P$3:$R$53,3,0),"")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(OCULTAR)'!$P$3:$R$53,3,0),"")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(OCULTAR)'!$P$3:$R$53,3,0),"")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(OCULTAR)'!$P$3:$R$53,3,0),"")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(OCULTAR)'!$P$3:$R$53,3,0),"")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(OCULTAR)'!$P$3:$R$53,3,0),"")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(OCULTAR)'!$P$3:$R$53,3,0),"")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(OCULTAR)'!$P$3:$R$53,3,0),"")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(OCULTAR)'!$P$3:$R$53,3,0),"")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(OCULTAR)'!$P$3:$R$53,3,0),"")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(OCULTAR)'!$P$3:$R$53,3,0),"")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(OCULTAR)'!$P$3:$R$53,3,0),"")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(OCULTAR)'!$P$3:$R$53,3,0),"")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(OCULTAR)'!$P$3:$R$53,3,0),"")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(OCULTAR)'!$P$3:$R$53,3,0),"")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(OCULTAR)'!$P$3:$R$53,3,0),"")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(OCULTAR)'!$P$3:$R$53,3,0),"")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(OCULTAR)'!$P$3:$R$53,3,0),"")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(OCULTAR)'!$P$3:$R$53,3,0),"")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(OCULTAR)'!$P$3:$R$53,3,0),"")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(OCULTAR)'!$P$3:$R$53,3,0),"")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(OCULTAR)'!$P$3:$R$53,3,0),"")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(OCULTAR)'!$P$3:$R$53,3,0),"")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(OCULTAR)'!$P$3:$R$53,3,0),"")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(OCULTAR)'!$P$3:$R$53,3,0),"")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(OCULTAR)'!$P$3:$R$53,3,0),"")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(OCULTAR)'!$P$3:$R$53,3,0),"")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(OCULTAR)'!$P$3:$R$53,3,0),"")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(OCULTAR)'!$P$3:$R$53,3,0),"")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(OCULTAR)'!$P$3:$R$53,3,0),"")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(OCULTAR)'!$P$3:$R$53,3,0),"")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(OCULTAR)'!$P$3:$R$53,3,0),"")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(OCULTAR)'!$P$3:$R$53,3,0),"")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(OCULTAR)'!$P$3:$R$53,3,0),"")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(OCULTAR)'!$P$3:$R$53,3,0),"")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(OCULTAR)'!$P$3:$R$53,3,0),"")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(OCULTAR)'!$P$3:$R$53,3,0),"")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(OCULTAR)'!$P$3:$R$53,3,0),"")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(OCULTAR)'!$P$3:$R$53,3,0),"")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(OCULTAR)'!$P$3:$R$53,3,0),"")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(OCULTAR)'!$P$3:$R$53,3,0),"")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(OCULTAR)'!$P$3:$R$53,3,0),"")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(OCULTAR)'!$P$3:$R$53,3,0),"")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(OCULTAR)'!$P$3:$R$53,3,0),"")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(OCULTAR)'!$P$3:$R$53,3,0),"")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(OCULTAR)'!$P$3:$R$53,3,0),"")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(OCULTAR)'!$P$3:$R$53,3,0),"")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(OCULTAR)'!$P$3:$R$53,3,0),"")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(OCULTAR)'!$P$3:$R$53,3,0),"")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(OCULTAR)'!$P$3:$R$53,3,0),"")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(OCULTAR)'!$P$3:$R$53,3,0),"")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(OCULTAR)'!$P$3:$R$53,3,0),"")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(OCULTAR)'!$P$3:$R$53,3,0),"")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(OCULTAR)'!$P$3:$R$53,3,0),"")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(OCULTAR)'!$P$3:$R$53,3,0),"")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(OCULTAR)'!$P$3:$R$53,3,0),"")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(OCULTAR)'!$P$3:$R$53,3,0),"")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(OCULTAR)'!$P$3:$R$53,3,0),"")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(OCULTAR)'!$P$3:$R$53,3,0),"")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(OCULTAR)'!$P$3:$R$53,3,0),"")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(OCULTAR)'!$P$3:$R$53,3,0),"")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(OCULTAR)'!$P$3:$R$53,3,0),"")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(OCULTAR)'!$P$3:$R$53,3,0),"")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(OCULTAR)'!$P$3:$R$53,3,0),"")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(OCULTAR)'!$P$3:$R$53,3,0),"")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(OCULTAR)'!$P$3:$R$53,3,0),"")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(OCULTAR)'!$P$3:$R$53,3,0),"")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(OCULTAR)'!$P$3:$R$53,3,0),"")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(OCULTAR)'!$P$3:$R$53,3,0),"")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(OCULTAR)'!$P$3:$R$53,3,0),"")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(OCULTAR)'!$P$3:$R$53,3,0),"")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(OCULTAR)'!$P$3:$R$53,3,0),"")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(OCULTAR)'!$P$3:$R$53,3,0),"")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(OCULTAR)'!$P$3:$R$53,3,0),"")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(OCULTAR)'!$P$3:$R$53,3,0),"")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(OCULTAR)'!$P$3:$R$53,3,0),"")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(OCULTAR)'!$P$3:$R$53,3,0),"")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(OCULTAR)'!$P$3:$R$53,3,0),"")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(OCULTAR)'!$P$3:$R$53,3,0),"")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(OCULTAR)'!$P$3:$R$53,3,0),"")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(OCULTAR)'!$P$3:$R$53,3,0),"")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(OCULTAR)'!$P$3:$R$53,3,0),"")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(OCULTAR)'!$P$3:$R$53,3,0),"")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(OCULTAR)'!$P$3:$R$53,3,0),"")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(OCULTAR)'!$P$3:$R$53,3,0),"")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(OCULTAR)'!$P$3:$R$53,3,0),"")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(OCULTAR)'!$P$3:$R$53,3,0),"")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(OCULTAR)'!$P$3:$R$53,3,0),"")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(OCULTAR)'!$P$3:$R$53,3,0),"")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(OCULTAR)'!$P$3:$R$53,3,0),"")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(OCULTAR)'!$P$3:$R$53,3,0),"")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(OCULTAR)'!$P$3:$R$53,3,0),"")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(OCULTAR)'!$P$3:$R$53,3,0),"")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(OCULTAR)'!$P$3:$R$53,3,0),"")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(OCULTAR)'!$P$3:$R$53,3,0),"")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(OCULTAR)'!$P$3:$R$53,3,0),"")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(OCULTAR)'!$P$3:$R$53,3,0),"")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(OCULTAR)'!$P$3:$R$53,3,0),"")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(OCULTAR)'!$P$3:$R$53,3,0),"")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(OCULTAR)'!$P$3:$R$53,3,0),"")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(OCULTAR)'!$P$3:$R$53,3,0),"")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(OCULTAR)'!$P$3:$R$53,3,0),"")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(OCULTAR)'!$P$3:$R$53,3,0),"")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(OCULTAR)'!$P$3:$R$53,3,0),"")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(OCULTAR)'!$P$3:$R$53,3,0),"")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(OCULTAR)'!$P$3:$R$53,3,0),"")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(OCULTAR)'!$P$3:$R$53,3,0),"")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(OCULTAR)'!$P$3:$R$53,3,0),"")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(OCULTAR)'!$P$3:$R$53,3,0),"")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(OCULTAR)'!$P$3:$R$53,3,0),"")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(OCULTAR)'!$P$3:$R$53,3,0),"")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(OCULTAR)'!$P$3:$R$53,3,0),"")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(OCULTAR)'!$P$3:$R$53,3,0),"")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(OCULTAR)'!$P$3:$R$53,3,0),"")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(OCULTAR)'!$P$3:$R$53,3,0),"")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(OCULTAR)'!$P$3:$R$53,3,0),"")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(OCULTAR)'!$P$3:$R$53,3,0),"")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(OCULTAR)'!$P$3:$R$53,3,0),"")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(OCULTAR)'!$P$3:$R$53,3,0),"")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(OCULTAR)'!$P$3:$R$53,3,0),"")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(OCULTAR)'!$P$3:$R$53,3,0),"")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(OCULTAR)'!$P$3:$R$53,3,0),"")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(OCULTAR)'!$P$3:$R$53,3,0),"")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(OCULTAR)'!$P$3:$R$53,3,0),"")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(OCULTAR)'!$P$3:$R$53,3,0),"")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(OCULTAR)'!$P$3:$R$53,3,0),"")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(OCULTAR)'!$P$3:$R$53,3,0),"")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(OCULTAR)'!$P$3:$R$53,3,0),"")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(OCULTAR)'!$P$3:$R$53,3,0),"")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(OCULTAR)'!$P$3:$R$53,3,0),"")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(OCULTAR)'!$P$3:$R$53,3,0),"")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(OCULTAR)'!$P$3:$R$53,3,0),"")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(OCULTAR)'!$P$3:$R$53,3,0),"")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(OCULTAR)'!$P$3:$R$53,3,0),"")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(OCULTAR)'!$P$3:$R$53,3,0),"")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(OCULTAR)'!$P$3:$R$53,3,0),"")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(OCULTAR)'!$P$3:$R$53,3,0),"")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(OCULTAR)'!$P$3:$R$53,3,0),"")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(OCULTAR)'!$P$3:$R$53,3,0),"")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(OCULTAR)'!$P$3:$R$53,3,0),"")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(OCULTAR)'!$P$3:$R$53,3,0),"")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(OCULTAR)'!$P$3:$R$53,3,0),"")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(OCULTAR)'!$P$3:$R$53,3,0),"")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(OCULTAR)'!$P$3:$R$53,3,0),"")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(OCULTAR)'!$P$3:$R$53,3,0),"")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(OCULTAR)'!$P$3:$R$53,3,0),"")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(OCULTAR)'!$P$3:$R$53,3,0),"")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(OCULTAR)'!$P$3:$R$53,3,0),"")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(OCULTAR)'!$P$3:$R$53,3,0),"")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(OCULTAR)'!$P$3:$R$53,3,0),"")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(OCULTAR)'!$P$3:$R$53,3,0),"")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(OCULTAR)'!$P$3:$R$53,3,0),"")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(OCULTAR)'!$P$3:$R$53,3,0),"")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(OCULTAR)'!$P$3:$R$53,3,0),"")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(OCULTAR)'!$P$3:$R$53,3,0),"")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(OCULTAR)'!$P$3:$R$53,3,0),"")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(OCULTAR)'!$P$3:$R$53,3,0),"")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(OCULTAR)'!$P$3:$R$53,3,0),"")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(OCULTAR)'!$P$3:$R$53,3,0),"")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(OCULTAR)'!$P$3:$R$53,3,0),"")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(OCULTAR)'!$P$3:$R$53,3,0),"")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(OCULTAR)'!$P$3:$R$53,3,0),"")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(OCULTAR)'!$P$3:$R$53,3,0),"")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(OCULTAR)'!$P$3:$R$53,3,0),"")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(OCULTAR)'!$P$3:$R$53,3,0),"")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(OCULTAR)'!$P$3:$R$53,3,0),"")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(OCULTAR)'!$P$3:$R$53,3,0),"")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(OCULTAR)'!$P$3:$R$53,3,0),"")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(OCULTAR)'!$P$3:$R$53,3,0),"")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(OCULTAR)'!$P$3:$R$53,3,0),"")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(OCULTAR)'!$P$3:$R$53,3,0),"")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(OCULTAR)'!$P$3:$R$53,3,0),"")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(OCULTAR)'!$P$3:$R$53,3,0),"")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(OCULTAR)'!$P$3:$R$53,3,0),"")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(OCULTAR)'!$P$3:$R$53,3,0),"")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(OCULTAR)'!$P$3:$R$53,3,0),"")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(OCULTAR)'!$P$3:$R$53,3,0),"")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(OCULTAR)'!$P$3:$R$53,3,0),"")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(OCULTAR)'!$P$3:$R$53,3,0),"")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(OCULTAR)'!$P$3:$R$53,3,0),"")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(OCULTAR)'!$P$3:$R$53,3,0),"")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(OCULTAR)'!$P$3:$R$53,3,0),"")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(OCULTAR)'!$P$3:$R$53,3,0),"")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(OCULTAR)'!$P$3:$R$53,3,0),"")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(OCULTAR)'!$P$3:$R$53,3,0),"")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(OCULTAR)'!$P$3:$R$53,3,0),"")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(OCULTAR)'!$P$3:$R$53,3,0),"")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(OCULTAR)'!$P$3:$R$53,3,0),"")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(OCULTAR)'!$P$3:$R$53,3,0),"")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(OCULTAR)'!$P$3:$R$53,3,0),"")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(OCULTAR)'!$P$3:$R$53,3,0),"")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(OCULTAR)'!$P$3:$R$53,3,0),"")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(OCULTAR)'!$P$3:$R$53,3,0),"")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(OCULTAR)'!$P$3:$R$53,3,0),"")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(OCULTAR)'!$P$3:$R$53,3,0),"")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(OCULTAR)'!$P$3:$R$53,3,0),"")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(OCULTAR)'!$P$3:$R$53,3,0),"")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(OCULTAR)'!$P$3:$R$53,3,0),"")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(OCULTAR)'!$P$3:$R$53,3,0),"")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(OCULTAR)'!$P$3:$R$53,3,0),"")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(OCULTAR)'!$P$3:$R$53,3,0),"")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(OCULTAR)'!$P$3:$R$53,3,0),"")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(OCULTAR)'!$P$3:$R$53,3,0),"")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(OCULTAR)'!$P$3:$R$53,3,0),"")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(OCULTAR)'!$P$3:$R$53,3,0),"")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(OCULTAR)'!$P$3:$R$53,3,0),"")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(OCULTAR)'!$P$3:$R$53,3,0),"")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(OCULTAR)'!$P$3:$R$53,3,0),"")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(OCULTAR)'!$P$3:$R$53,3,0),"")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(OCULTAR)'!$P$3:$R$53,3,0),"")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(OCULTAR)'!$P$3:$R$53,3,0),"")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(OCULTAR)'!$P$3:$R$53,3,0),"")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(OCULTAR)'!$P$3:$R$53,3,0),"")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(OCULTAR)'!$P$3:$R$53,3,0),"")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(OCULTAR)'!$P$3:$R$53,3,0),"")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(OCULTAR)'!$P$3:$R$53,3,0),"")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(OCULTAR)'!$P$3:$R$53,3,0),"")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(OCULTAR)'!$P$3:$R$53,3,0),"")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password="CBB2" sheet="1" formatColumns="0" insertHyperlinks="0" autoFilter="0"/>
  <dataValidations count="1">
    <dataValidation type="list" allowBlank="1" showInputMessage="1" showErrorMessage="1" sqref="B2:B991" xr:uid="{6CC238E5-1C8C-4BA7-B422-31E230557184}">
      <formula1>UNIDADES</formula1>
    </dataValidation>
  </dataValidations>
  <hyperlinks>
    <hyperlink ref="I2" r:id="rId1" xr:uid="{BAED4826-E5A6-411A-A7DF-48A5EEA02DFC}"/>
    <hyperlink ref="I3" r:id="rId2" xr:uid="{A72F8ED0-B60F-4DBF-A17F-1C9DFF561122}"/>
    <hyperlink ref="I4:I24" r:id="rId3" display="https://fpmf-sistemas.org.br/sistemas/aplic/transp/menu_ext_fpmf/" xr:uid="{C1B4ED01-3531-4E96-802C-62F95869D94C}"/>
    <hyperlink ref="I25" r:id="rId4" xr:uid="{71C14A35-6052-4C38-8E9D-3D135EF66633}"/>
    <hyperlink ref="I26:I27" r:id="rId5" display="https://fpmf-sistemas.org.br/sistemas/aplic/transp/menu_ext_fpmf/" xr:uid="{4BF4AD61-87E9-4E48-8C29-B04575598292}"/>
    <hyperlink ref="I28:I38" r:id="rId6" display="https://fpmf-sistemas.org.br/sistemas/aplic/transp/menu_ext_fpmf/" xr:uid="{10BC4BA6-C91C-42A0-925D-9EAEFCB91C8B}"/>
    <hyperlink ref="I39" r:id="rId7" xr:uid="{E55AAD1C-1E42-4FB3-AFF6-84A4A1FA7D8E}"/>
    <hyperlink ref="I40:I46" r:id="rId8" display="https://fpmf-sistemas.org.br/sistemas/aplic/transp/menu_ext_fpmf/" xr:uid="{38D05978-0D12-44E0-9F57-A89D61284FF4}"/>
    <hyperlink ref="I21" r:id="rId9" xr:uid="{6E71BE73-7FD0-4518-B6CD-DBF5624AD016}"/>
    <hyperlink ref="I47:I65" r:id="rId10" display="https://fpmf-sistemas.org.br/sistemas/aplic/transp/menu_ext_fpmf/" xr:uid="{E2318535-B0F7-4807-9681-B8711F4D590B}"/>
    <hyperlink ref="I66" r:id="rId11" xr:uid="{15FEB2A2-7010-4101-BC76-0E0EB50003E6}"/>
    <hyperlink ref="I67:I73" r:id="rId12" display="https://fpmf-sistemas.org.br/sistemas/aplic/transp/menu_ext_fpmf/" xr:uid="{5A83290D-44BC-4C3F-BFBD-652B1D8FCD3C}"/>
    <hyperlink ref="I74" r:id="rId13" xr:uid="{7BF42F40-61ED-44D4-859A-62AC81B02166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UPABARRA-termos aditivos.2020_0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daniellym</dc:creator>
  <cp:lastModifiedBy>daniellym</cp:lastModifiedBy>
  <dcterms:created xsi:type="dcterms:W3CDTF">2020-09-04T18:08:30Z</dcterms:created>
  <dcterms:modified xsi:type="dcterms:W3CDTF">2020-09-04T18:09:55Z</dcterms:modified>
</cp:coreProperties>
</file>